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activeTab="6"/>
  </bookViews>
  <sheets>
    <sheet name="титульник" sheetId="2" r:id="rId1"/>
    <sheet name="разд 1 все вместе" sheetId="9" state="hidden" r:id="rId2"/>
    <sheet name="Свод Разд 1" sheetId="10" r:id="rId3"/>
    <sheet name="Разд 1.1 МЗ " sheetId="1" r:id="rId4"/>
    <sheet name="Разд 1.2 ИЦ" sheetId="7" r:id="rId5"/>
    <sheet name="Разд 1.3 ПДД" sheetId="8" r:id="rId6"/>
    <sheet name="Раздел 2" sheetId="13" r:id="rId7"/>
    <sheet name="Лист2" sheetId="14" state="hidden" r:id="rId8"/>
    <sheet name="Лист1" sheetId="11" state="hidden" r:id="rId9"/>
  </sheets>
  <definedNames>
    <definedName name="_xlnm._FilterDatabase" localSheetId="7" hidden="1">Лист2!$A$5:$AA$37</definedName>
    <definedName name="_xlnm._FilterDatabase" localSheetId="3" hidden="1">'Разд 1.1 МЗ '!$A$6:$M$6</definedName>
    <definedName name="_xlnm._FilterDatabase" localSheetId="4" hidden="1">'Разд 1.2 ИЦ'!$A$33:$K$86</definedName>
    <definedName name="_xlnm._FilterDatabase" localSheetId="5" hidden="1">'Разд 1.3 ПДД'!$A$6:$P$6</definedName>
    <definedName name="_xlnm.Print_Area" localSheetId="3">'Разд 1.1 МЗ '!$A$1:$H$89</definedName>
    <definedName name="_xlnm.Print_Area" localSheetId="4">'Разд 1.2 ИЦ'!$A$1:$H$86</definedName>
    <definedName name="_xlnm.Print_Area" localSheetId="5">'Разд 1.3 ПДД'!$A$1:$H$97</definedName>
    <definedName name="_xlnm.Print_Area" localSheetId="6">'Раздел 2'!$A$1:$H$40</definedName>
    <definedName name="_xlnm.Print_Area" localSheetId="0">титульник!$A$1:$I$31</definedName>
  </definedNames>
  <calcPr calcId="162913" iterate="1"/>
</workbook>
</file>

<file path=xl/calcChain.xml><?xml version="1.0" encoding="utf-8"?>
<calcChain xmlns="http://schemas.openxmlformats.org/spreadsheetml/2006/main">
  <c r="J16" i="1" l="1"/>
  <c r="I84" i="8" l="1"/>
  <c r="I86" i="8"/>
  <c r="J51" i="1" l="1"/>
  <c r="J37" i="1"/>
  <c r="I75" i="8" l="1"/>
  <c r="I72" i="8"/>
  <c r="I81" i="8" l="1"/>
  <c r="J84" i="8"/>
  <c r="J75" i="8"/>
  <c r="J56" i="8"/>
  <c r="J43" i="8"/>
  <c r="L86" i="8"/>
  <c r="L76" i="8"/>
  <c r="L56" i="8"/>
  <c r="L43" i="8"/>
  <c r="L20" i="8"/>
  <c r="L69" i="1"/>
  <c r="L66" i="1"/>
  <c r="L77" i="1"/>
  <c r="L75" i="1"/>
  <c r="L67" i="1"/>
  <c r="F40" i="8" l="1"/>
  <c r="G40" i="8"/>
  <c r="E21" i="8"/>
  <c r="F14" i="8"/>
  <c r="F11" i="8"/>
  <c r="E11" i="8"/>
  <c r="F68" i="8"/>
  <c r="G68" i="8"/>
  <c r="F69" i="8"/>
  <c r="G69" i="8"/>
  <c r="F54" i="8"/>
  <c r="G54" i="8"/>
  <c r="F45" i="8"/>
  <c r="G45" i="8"/>
  <c r="E45" i="8"/>
  <c r="G42" i="8"/>
  <c r="F42" i="8"/>
  <c r="G56" i="8"/>
  <c r="G43" i="8"/>
  <c r="J23" i="7" l="1"/>
  <c r="J73" i="7" l="1"/>
  <c r="J47" i="7"/>
  <c r="I47" i="8" l="1"/>
  <c r="L84" i="8" l="1"/>
  <c r="I76" i="8"/>
  <c r="I66" i="8"/>
  <c r="K47" i="8"/>
  <c r="K49" i="8"/>
  <c r="J87" i="8"/>
  <c r="J73" i="8"/>
  <c r="I18" i="8"/>
  <c r="J19" i="8"/>
  <c r="J41" i="7"/>
  <c r="J43" i="7"/>
  <c r="L68" i="1"/>
  <c r="J74" i="7" l="1"/>
  <c r="J69" i="7"/>
  <c r="L29" i="8" l="1"/>
  <c r="L14" i="8"/>
  <c r="K14" i="8"/>
  <c r="J14" i="8"/>
  <c r="L11" i="8"/>
  <c r="L9" i="8"/>
  <c r="L69" i="8"/>
  <c r="L68" i="8" s="1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67" i="8"/>
  <c r="E66" i="8"/>
  <c r="E65" i="8"/>
  <c r="E60" i="8" s="1"/>
  <c r="E63" i="8"/>
  <c r="E62" i="8"/>
  <c r="E61" i="8"/>
  <c r="E59" i="8"/>
  <c r="E58" i="8"/>
  <c r="E57" i="8"/>
  <c r="E56" i="8"/>
  <c r="E54" i="8" s="1"/>
  <c r="E53" i="8"/>
  <c r="E52" i="8"/>
  <c r="E51" i="8"/>
  <c r="E50" i="8"/>
  <c r="E49" i="8"/>
  <c r="E48" i="8"/>
  <c r="E47" i="8"/>
  <c r="E46" i="8"/>
  <c r="E38" i="8"/>
  <c r="E36" i="8"/>
  <c r="E20" i="8"/>
  <c r="E20" i="10" s="1"/>
  <c r="E19" i="8"/>
  <c r="E18" i="8"/>
  <c r="I62" i="8"/>
  <c r="I78" i="8"/>
  <c r="I79" i="8"/>
  <c r="J76" i="8"/>
  <c r="J86" i="8"/>
  <c r="L54" i="8"/>
  <c r="L51" i="8"/>
  <c r="L45" i="8"/>
  <c r="L42" i="8"/>
  <c r="H20" i="10"/>
  <c r="G20" i="10"/>
  <c r="F20" i="10"/>
  <c r="C20" i="10"/>
  <c r="A20" i="10"/>
  <c r="E64" i="8"/>
  <c r="E44" i="8"/>
  <c r="E43" i="8"/>
  <c r="E42" i="8" s="1"/>
  <c r="E29" i="8"/>
  <c r="E25" i="8"/>
  <c r="E23" i="8"/>
  <c r="E13" i="8"/>
  <c r="J66" i="7"/>
  <c r="J76" i="7"/>
  <c r="L51" i="1"/>
  <c r="L37" i="1"/>
  <c r="L15" i="1"/>
  <c r="E69" i="8" l="1"/>
  <c r="E68" i="8" s="1"/>
  <c r="E40" i="8"/>
  <c r="L39" i="8"/>
  <c r="E14" i="8"/>
  <c r="E9" i="8" s="1"/>
  <c r="G11" i="8"/>
  <c r="K86" i="8"/>
  <c r="J65" i="7" l="1"/>
  <c r="J44" i="7" l="1"/>
  <c r="K84" i="8" l="1"/>
  <c r="K79" i="8"/>
  <c r="I83" i="8" l="1"/>
  <c r="I21" i="8"/>
  <c r="K76" i="8" l="1"/>
  <c r="I43" i="8"/>
  <c r="I74" i="8"/>
  <c r="J68" i="7"/>
  <c r="J75" i="7"/>
  <c r="L73" i="1"/>
  <c r="L74" i="1"/>
  <c r="L79" i="1"/>
  <c r="L65" i="1"/>
  <c r="L63" i="1"/>
  <c r="I69" i="8" l="1"/>
  <c r="K69" i="8"/>
  <c r="J69" i="8"/>
  <c r="I38" i="8"/>
  <c r="G68" i="1" l="1"/>
  <c r="G79" i="1"/>
  <c r="L36" i="1" l="1"/>
  <c r="F50" i="7" l="1"/>
  <c r="G50" i="7"/>
  <c r="E50" i="7"/>
  <c r="I58" i="7" l="1"/>
  <c r="F39" i="7"/>
  <c r="G59" i="7"/>
  <c r="G58" i="7" s="1"/>
  <c r="G45" i="7"/>
  <c r="G39" i="7"/>
  <c r="F59" i="7"/>
  <c r="F58" i="7" s="1"/>
  <c r="F21" i="7"/>
  <c r="F45" i="7"/>
  <c r="I59" i="7"/>
  <c r="G21" i="7"/>
  <c r="G9" i="7" s="1"/>
  <c r="G46" i="7"/>
  <c r="F46" i="7"/>
  <c r="E46" i="7"/>
  <c r="K13" i="7"/>
  <c r="K21" i="7"/>
  <c r="K30" i="7"/>
  <c r="K27" i="7" s="1"/>
  <c r="K36" i="7"/>
  <c r="K33" i="7" s="1"/>
  <c r="K39" i="7"/>
  <c r="K45" i="7"/>
  <c r="K48" i="7"/>
  <c r="K52" i="7"/>
  <c r="K54" i="7"/>
  <c r="K59" i="7"/>
  <c r="K58" i="7" s="1"/>
  <c r="E61" i="7"/>
  <c r="F61" i="7" s="1"/>
  <c r="E77" i="7"/>
  <c r="F77" i="7" s="1"/>
  <c r="G77" i="7" s="1"/>
  <c r="E53" i="7"/>
  <c r="E52" i="7" s="1"/>
  <c r="E47" i="7"/>
  <c r="E45" i="7" s="1"/>
  <c r="F37" i="7"/>
  <c r="F38" i="7"/>
  <c r="K9" i="7" l="1"/>
  <c r="K7" i="7" s="1"/>
  <c r="F53" i="7"/>
  <c r="G53" i="7" l="1"/>
  <c r="G52" i="7" s="1"/>
  <c r="F52" i="7"/>
  <c r="F36" i="1" l="1"/>
  <c r="F58" i="1"/>
  <c r="F57" i="1"/>
  <c r="F39" i="1"/>
  <c r="G64" i="1" l="1"/>
  <c r="G67" i="1"/>
  <c r="G69" i="1"/>
  <c r="G70" i="1"/>
  <c r="G71" i="1"/>
  <c r="G72" i="1"/>
  <c r="G73" i="1"/>
  <c r="G74" i="1"/>
  <c r="G75" i="1"/>
  <c r="G76" i="1"/>
  <c r="G77" i="1"/>
  <c r="G78" i="1"/>
  <c r="G58" i="1"/>
  <c r="G59" i="1"/>
  <c r="G57" i="1"/>
  <c r="G39" i="1"/>
  <c r="G34" i="1"/>
  <c r="J40" i="1"/>
  <c r="K36" i="1"/>
  <c r="J45" i="7" l="1"/>
  <c r="L59" i="1" l="1"/>
  <c r="J54" i="8" l="1"/>
  <c r="J51" i="8"/>
  <c r="J45" i="8"/>
  <c r="I54" i="8"/>
  <c r="I14" i="8" l="1"/>
  <c r="K49" i="1"/>
  <c r="L49" i="1"/>
  <c r="J49" i="1"/>
  <c r="B31" i="13" l="1"/>
  <c r="G54" i="7" l="1"/>
  <c r="F54" i="7"/>
  <c r="G36" i="7"/>
  <c r="G51" i="1" l="1"/>
  <c r="G37" i="1"/>
  <c r="G15" i="1"/>
  <c r="G13" i="8"/>
  <c r="G19" i="8" l="1"/>
  <c r="G18" i="8"/>
  <c r="F25" i="10" l="1"/>
  <c r="G25" i="10"/>
  <c r="E67" i="1" l="1"/>
  <c r="E57" i="1"/>
  <c r="A39" i="13" l="1"/>
  <c r="E8" i="2"/>
  <c r="H11" i="10" l="1"/>
  <c r="F19" i="10"/>
  <c r="H19" i="10"/>
  <c r="E19" i="10"/>
  <c r="F13" i="10"/>
  <c r="F11" i="10" s="1"/>
  <c r="G16" i="10" l="1"/>
  <c r="F16" i="10"/>
  <c r="J48" i="7"/>
  <c r="E66" i="7" l="1"/>
  <c r="E74" i="7"/>
  <c r="E73" i="7"/>
  <c r="E36" i="7"/>
  <c r="F36" i="7" s="1"/>
  <c r="E62" i="7"/>
  <c r="F62" i="7" s="1"/>
  <c r="G62" i="7" s="1"/>
  <c r="E63" i="7"/>
  <c r="F63" i="7" s="1"/>
  <c r="G63" i="7" s="1"/>
  <c r="E64" i="7"/>
  <c r="F64" i="7" s="1"/>
  <c r="G64" i="7" s="1"/>
  <c r="E67" i="7"/>
  <c r="F67" i="7" s="1"/>
  <c r="G67" i="7" s="1"/>
  <c r="E69" i="7"/>
  <c r="E70" i="7"/>
  <c r="F70" i="7" s="1"/>
  <c r="G70" i="7" s="1"/>
  <c r="E71" i="7"/>
  <c r="E72" i="7"/>
  <c r="F72" i="7" s="1"/>
  <c r="G72" i="7" s="1"/>
  <c r="E75" i="7"/>
  <c r="E78" i="7"/>
  <c r="F78" i="7" s="1"/>
  <c r="G78" i="7" s="1"/>
  <c r="E79" i="7"/>
  <c r="F79" i="7" s="1"/>
  <c r="G79" i="7" s="1"/>
  <c r="E43" i="7"/>
  <c r="E44" i="7"/>
  <c r="E41" i="7"/>
  <c r="E42" i="7"/>
  <c r="F42" i="7" s="1"/>
  <c r="G42" i="7" s="1"/>
  <c r="E23" i="7"/>
  <c r="E68" i="7"/>
  <c r="E39" i="7" l="1"/>
  <c r="G61" i="7"/>
  <c r="E65" i="7"/>
  <c r="J59" i="7"/>
  <c r="J58" i="7" s="1"/>
  <c r="E40" i="7"/>
  <c r="J39" i="7"/>
  <c r="E76" i="7"/>
  <c r="J21" i="7"/>
  <c r="E59" i="7" l="1"/>
  <c r="E58" i="7" s="1"/>
  <c r="J33" i="7"/>
  <c r="F25" i="8"/>
  <c r="G25" i="8"/>
  <c r="F23" i="8"/>
  <c r="G23" i="8"/>
  <c r="H14" i="8"/>
  <c r="E13" i="10"/>
  <c r="E11" i="10" s="1"/>
  <c r="G19" i="10"/>
  <c r="E27" i="8"/>
  <c r="F13" i="1"/>
  <c r="F9" i="1" s="1"/>
  <c r="G13" i="1"/>
  <c r="G9" i="1" s="1"/>
  <c r="J13" i="1"/>
  <c r="J9" i="1" s="1"/>
  <c r="K13" i="1"/>
  <c r="E16" i="1"/>
  <c r="E15" i="1"/>
  <c r="G21" i="8" l="1"/>
  <c r="E25" i="10"/>
  <c r="E16" i="10"/>
  <c r="E13" i="1"/>
  <c r="E9" i="1" s="1"/>
  <c r="G14" i="8" l="1"/>
  <c r="F9" i="8"/>
  <c r="E77" i="1"/>
  <c r="E63" i="1"/>
  <c r="G63" i="1" s="1"/>
  <c r="E89" i="8" l="1"/>
  <c r="E90" i="8"/>
  <c r="E91" i="8"/>
  <c r="E59" i="1" l="1"/>
  <c r="E58" i="1"/>
  <c r="I56" i="1"/>
  <c r="L56" i="1"/>
  <c r="J56" i="1"/>
  <c r="K56" i="1"/>
  <c r="H61" i="1"/>
  <c r="H60" i="1" s="1"/>
  <c r="I61" i="1"/>
  <c r="I60" i="1" s="1"/>
  <c r="J61" i="1"/>
  <c r="J60" i="1" s="1"/>
  <c r="K61" i="1"/>
  <c r="K60" i="1" s="1"/>
  <c r="L61" i="1"/>
  <c r="L60" i="1" s="1"/>
  <c r="L33" i="1" s="1"/>
  <c r="H49" i="1"/>
  <c r="I49" i="1"/>
  <c r="K34" i="1"/>
  <c r="E56" i="1" l="1"/>
  <c r="G56" i="1"/>
  <c r="F56" i="1"/>
  <c r="K33" i="1"/>
  <c r="H56" i="1"/>
  <c r="E79" i="1" l="1"/>
  <c r="F84" i="10" l="1"/>
  <c r="G84" i="10"/>
  <c r="H84" i="10"/>
  <c r="E84" i="10"/>
  <c r="G13" i="10" l="1"/>
  <c r="G11" i="10" s="1"/>
  <c r="I13" i="1"/>
  <c r="I9" i="1" s="1"/>
  <c r="I27" i="1"/>
  <c r="I30" i="1"/>
  <c r="I36" i="1"/>
  <c r="I40" i="1"/>
  <c r="I54" i="1"/>
  <c r="I34" i="1" l="1"/>
  <c r="I33" i="1"/>
  <c r="I7" i="1" s="1"/>
  <c r="E28" i="8"/>
  <c r="E22" i="1" l="1"/>
  <c r="E71" i="1" l="1"/>
  <c r="H40" i="8" l="1"/>
  <c r="H65" i="10" l="1"/>
  <c r="H62" i="10"/>
  <c r="H63" i="10"/>
  <c r="E26" i="8" l="1"/>
  <c r="K29" i="8"/>
  <c r="E62" i="10" l="1"/>
  <c r="E63" i="10"/>
  <c r="E65" i="10"/>
  <c r="K60" i="8"/>
  <c r="M60" i="8"/>
  <c r="N60" i="8"/>
  <c r="I60" i="8"/>
  <c r="H60" i="8"/>
  <c r="F63" i="10"/>
  <c r="G63" i="10" l="1"/>
  <c r="G62" i="10"/>
  <c r="F62" i="10"/>
  <c r="J60" i="8" l="1"/>
  <c r="AJ8" i="14" l="1"/>
  <c r="AJ10" i="14"/>
  <c r="AJ11" i="14"/>
  <c r="AJ12" i="14"/>
  <c r="AJ13" i="14"/>
  <c r="AJ14" i="14"/>
  <c r="AJ16" i="14"/>
  <c r="AJ17" i="14"/>
  <c r="AJ18" i="14"/>
  <c r="AJ19" i="14"/>
  <c r="AJ20" i="14"/>
  <c r="AJ21" i="14"/>
  <c r="AI8" i="14"/>
  <c r="AI9" i="14"/>
  <c r="AI10" i="14"/>
  <c r="AI11" i="14"/>
  <c r="AI12" i="14"/>
  <c r="AI13" i="14"/>
  <c r="AI14" i="14"/>
  <c r="AI16" i="14"/>
  <c r="AI17" i="14"/>
  <c r="AI18" i="14"/>
  <c r="AI19" i="14"/>
  <c r="AI20" i="14"/>
  <c r="AI21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22" i="14"/>
  <c r="AG16" i="14"/>
  <c r="AG10" i="14"/>
  <c r="AG11" i="14"/>
  <c r="AG12" i="14"/>
  <c r="AG13" i="14"/>
  <c r="AG9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22" i="14"/>
  <c r="AF16" i="14"/>
  <c r="AF10" i="14"/>
  <c r="AF11" i="14"/>
  <c r="AF12" i="14"/>
  <c r="AF13" i="14"/>
  <c r="AF9" i="14"/>
  <c r="AE35" i="14"/>
  <c r="AD27" i="14"/>
  <c r="AD38" i="14" s="1"/>
  <c r="AB35" i="14"/>
  <c r="AC35" i="14" s="1"/>
  <c r="AB18" i="14"/>
  <c r="AC18" i="14" s="1"/>
  <c r="AB19" i="14"/>
  <c r="AC19" i="14" s="1"/>
  <c r="AB17" i="14"/>
  <c r="AC17" i="14" s="1"/>
  <c r="AH8" i="14"/>
  <c r="AH14" i="14"/>
  <c r="AH15" i="14"/>
  <c r="AH17" i="14"/>
  <c r="AH18" i="14"/>
  <c r="AH19" i="14"/>
  <c r="AH20" i="14"/>
  <c r="AH21" i="14"/>
  <c r="AH7" i="14"/>
  <c r="AE38" i="14"/>
  <c r="AC21" i="14"/>
  <c r="AC20" i="14"/>
  <c r="AC16" i="14"/>
  <c r="AC14" i="14"/>
  <c r="AC13" i="14"/>
  <c r="AC12" i="14"/>
  <c r="AC11" i="14"/>
  <c r="AC10" i="14"/>
  <c r="AC9" i="14"/>
  <c r="AH16" i="14" l="1"/>
  <c r="AH31" i="14"/>
  <c r="AH27" i="14"/>
  <c r="AH23" i="14"/>
  <c r="AH9" i="14"/>
  <c r="AH36" i="14"/>
  <c r="AH22" i="14"/>
  <c r="AG38" i="14"/>
  <c r="AH10" i="14"/>
  <c r="AH32" i="14"/>
  <c r="AH28" i="14"/>
  <c r="AH24" i="14"/>
  <c r="AH35" i="14"/>
  <c r="AH11" i="14"/>
  <c r="AH13" i="14"/>
  <c r="AK13" i="14"/>
  <c r="AK19" i="14"/>
  <c r="AK20" i="14"/>
  <c r="AK16" i="14"/>
  <c r="AK12" i="14"/>
  <c r="AK8" i="14"/>
  <c r="AK11" i="14"/>
  <c r="AK18" i="14"/>
  <c r="AK14" i="14"/>
  <c r="AK10" i="14"/>
  <c r="AK21" i="14"/>
  <c r="AK17" i="14"/>
  <c r="AH34" i="14"/>
  <c r="AH30" i="14"/>
  <c r="AH26" i="14"/>
  <c r="AH37" i="14"/>
  <c r="AH33" i="14"/>
  <c r="AH29" i="14"/>
  <c r="AH25" i="14"/>
  <c r="AH12" i="14"/>
  <c r="AF38" i="14"/>
  <c r="AH38" i="14" l="1"/>
  <c r="AA8" i="14" l="1"/>
  <c r="AA10" i="14"/>
  <c r="AA11" i="14"/>
  <c r="AA12" i="14"/>
  <c r="AA13" i="14"/>
  <c r="AA14" i="14"/>
  <c r="AA16" i="14"/>
  <c r="AA17" i="14"/>
  <c r="AA18" i="14"/>
  <c r="AA19" i="14"/>
  <c r="AA20" i="14"/>
  <c r="AA21" i="14"/>
  <c r="Z9" i="14"/>
  <c r="AJ9" i="14" s="1"/>
  <c r="AK9" i="14" s="1"/>
  <c r="Z23" i="14"/>
  <c r="AJ23" i="14" s="1"/>
  <c r="Z24" i="14"/>
  <c r="AJ24" i="14" s="1"/>
  <c r="Z25" i="14"/>
  <c r="AJ25" i="14" s="1"/>
  <c r="Z26" i="14"/>
  <c r="AJ26" i="14" s="1"/>
  <c r="Z27" i="14"/>
  <c r="AJ27" i="14" s="1"/>
  <c r="Z28" i="14"/>
  <c r="AJ28" i="14" s="1"/>
  <c r="Z29" i="14"/>
  <c r="AJ29" i="14" s="1"/>
  <c r="Z30" i="14"/>
  <c r="AJ30" i="14" s="1"/>
  <c r="Z31" i="14"/>
  <c r="AJ31" i="14" s="1"/>
  <c r="Z32" i="14"/>
  <c r="AJ32" i="14" s="1"/>
  <c r="Z33" i="14"/>
  <c r="AJ33" i="14" s="1"/>
  <c r="Z34" i="14"/>
  <c r="AJ34" i="14" s="1"/>
  <c r="Z35" i="14"/>
  <c r="AJ35" i="14" s="1"/>
  <c r="Z36" i="14"/>
  <c r="AJ36" i="14" s="1"/>
  <c r="Z37" i="14"/>
  <c r="AJ37" i="14" s="1"/>
  <c r="Z22" i="14"/>
  <c r="AJ22" i="14" s="1"/>
  <c r="Z15" i="14"/>
  <c r="AJ15" i="14" s="1"/>
  <c r="Z7" i="14"/>
  <c r="AJ7" i="14" s="1"/>
  <c r="Y23" i="14"/>
  <c r="AI23" i="14" s="1"/>
  <c r="Y24" i="14"/>
  <c r="AI24" i="14" s="1"/>
  <c r="Y25" i="14"/>
  <c r="AI25" i="14" s="1"/>
  <c r="Y26" i="14"/>
  <c r="AI26" i="14" s="1"/>
  <c r="Y27" i="14"/>
  <c r="AI27" i="14" s="1"/>
  <c r="Y28" i="14"/>
  <c r="AI28" i="14" s="1"/>
  <c r="Y29" i="14"/>
  <c r="AI29" i="14" s="1"/>
  <c r="Y30" i="14"/>
  <c r="AI30" i="14" s="1"/>
  <c r="Y31" i="14"/>
  <c r="AI31" i="14" s="1"/>
  <c r="Y32" i="14"/>
  <c r="AI32" i="14" s="1"/>
  <c r="Y33" i="14"/>
  <c r="AI33" i="14" s="1"/>
  <c r="Y34" i="14"/>
  <c r="AI34" i="14" s="1"/>
  <c r="Y35" i="14"/>
  <c r="AI35" i="14" s="1"/>
  <c r="Y36" i="14"/>
  <c r="AI36" i="14" s="1"/>
  <c r="Y37" i="14"/>
  <c r="AI37" i="14" s="1"/>
  <c r="Y22" i="14"/>
  <c r="AI22" i="14" s="1"/>
  <c r="Y15" i="14"/>
  <c r="AI15" i="14" s="1"/>
  <c r="Y7" i="14"/>
  <c r="AI7" i="14" s="1"/>
  <c r="M14" i="8"/>
  <c r="M42" i="8"/>
  <c r="M69" i="8"/>
  <c r="M68" i="8" s="1"/>
  <c r="N69" i="8"/>
  <c r="N68" i="8" s="1"/>
  <c r="M58" i="8"/>
  <c r="N58" i="8"/>
  <c r="N54" i="8"/>
  <c r="M51" i="8"/>
  <c r="N51" i="8"/>
  <c r="M45" i="8"/>
  <c r="N45" i="8"/>
  <c r="N42" i="8"/>
  <c r="M29" i="8"/>
  <c r="N29" i="8"/>
  <c r="N14" i="8"/>
  <c r="M11" i="8"/>
  <c r="N11" i="8"/>
  <c r="M54" i="8" l="1"/>
  <c r="G65" i="10"/>
  <c r="F65" i="10"/>
  <c r="AK15" i="14"/>
  <c r="AK35" i="14"/>
  <c r="AK31" i="14"/>
  <c r="AK27" i="14"/>
  <c r="AK23" i="14"/>
  <c r="AA26" i="14"/>
  <c r="AA7" i="14"/>
  <c r="AA22" i="14"/>
  <c r="AA9" i="14"/>
  <c r="AK34" i="14"/>
  <c r="AK30" i="14"/>
  <c r="AK26" i="14"/>
  <c r="AA34" i="14"/>
  <c r="AA30" i="14"/>
  <c r="AJ38" i="14"/>
  <c r="AA37" i="14"/>
  <c r="AA33" i="14"/>
  <c r="AA29" i="14"/>
  <c r="AA25" i="14"/>
  <c r="AK37" i="14"/>
  <c r="AK33" i="14"/>
  <c r="AK29" i="14"/>
  <c r="AK25" i="14"/>
  <c r="AA36" i="14"/>
  <c r="AA32" i="14"/>
  <c r="AA28" i="14"/>
  <c r="AA24" i="14"/>
  <c r="AI38" i="14"/>
  <c r="AK7" i="14"/>
  <c r="AK36" i="14"/>
  <c r="AK32" i="14"/>
  <c r="AK28" i="14"/>
  <c r="AK24" i="14"/>
  <c r="AK22" i="14"/>
  <c r="AA35" i="14"/>
  <c r="AA31" i="14"/>
  <c r="AA27" i="14"/>
  <c r="AA23" i="14"/>
  <c r="AA15" i="14"/>
  <c r="N39" i="8"/>
  <c r="M39" i="8"/>
  <c r="N9" i="8"/>
  <c r="M9" i="8"/>
  <c r="E21" i="7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22" i="14"/>
  <c r="V22" i="14"/>
  <c r="W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22" i="14"/>
  <c r="W18" i="14"/>
  <c r="W19" i="14"/>
  <c r="V18" i="14"/>
  <c r="V19" i="14"/>
  <c r="U18" i="14"/>
  <c r="U19" i="14"/>
  <c r="U17" i="14"/>
  <c r="V17" i="14"/>
  <c r="W17" i="14"/>
  <c r="T18" i="14"/>
  <c r="T19" i="14"/>
  <c r="T17" i="14"/>
  <c r="T14" i="14"/>
  <c r="U14" i="14"/>
  <c r="V14" i="14"/>
  <c r="W14" i="14"/>
  <c r="U13" i="14"/>
  <c r="V13" i="14"/>
  <c r="W13" i="14"/>
  <c r="T13" i="14"/>
  <c r="U12" i="14"/>
  <c r="V12" i="14"/>
  <c r="W12" i="14"/>
  <c r="T12" i="14"/>
  <c r="U11" i="14"/>
  <c r="V11" i="14"/>
  <c r="W11" i="14"/>
  <c r="T11" i="14"/>
  <c r="U10" i="14"/>
  <c r="V10" i="14"/>
  <c r="W10" i="14"/>
  <c r="T10" i="14"/>
  <c r="U9" i="14"/>
  <c r="V9" i="14"/>
  <c r="W9" i="14"/>
  <c r="T9" i="14"/>
  <c r="U8" i="14"/>
  <c r="V8" i="14"/>
  <c r="W8" i="14"/>
  <c r="T8" i="14"/>
  <c r="U7" i="14"/>
  <c r="V7" i="14"/>
  <c r="W7" i="14"/>
  <c r="T7" i="14"/>
  <c r="T16" i="14"/>
  <c r="U16" i="14"/>
  <c r="W16" i="14"/>
  <c r="X15" i="14"/>
  <c r="X20" i="14"/>
  <c r="X21" i="14"/>
  <c r="S9" i="14"/>
  <c r="S10" i="14"/>
  <c r="S11" i="14"/>
  <c r="S12" i="14"/>
  <c r="S13" i="14"/>
  <c r="S14" i="14"/>
  <c r="S16" i="14"/>
  <c r="S20" i="14"/>
  <c r="S21" i="14"/>
  <c r="S36" i="14"/>
  <c r="Y38" i="14"/>
  <c r="Z38" i="14"/>
  <c r="R18" i="14"/>
  <c r="S18" i="14" s="1"/>
  <c r="R19" i="14"/>
  <c r="S19" i="14" s="1"/>
  <c r="R17" i="14"/>
  <c r="S17" i="14" s="1"/>
  <c r="R35" i="14"/>
  <c r="S35" i="14" s="1"/>
  <c r="N38" i="14"/>
  <c r="Q8" i="14"/>
  <c r="Q16" i="14"/>
  <c r="P23" i="14"/>
  <c r="P24" i="14"/>
  <c r="P25" i="14"/>
  <c r="P27" i="14"/>
  <c r="P28" i="14"/>
  <c r="P29" i="14"/>
  <c r="P30" i="14"/>
  <c r="P31" i="14"/>
  <c r="P32" i="14"/>
  <c r="P33" i="14"/>
  <c r="P34" i="14"/>
  <c r="P35" i="14"/>
  <c r="P36" i="14"/>
  <c r="P37" i="14"/>
  <c r="O23" i="14"/>
  <c r="O25" i="14"/>
  <c r="O26" i="14"/>
  <c r="O28" i="14"/>
  <c r="O29" i="14"/>
  <c r="O31" i="14"/>
  <c r="O32" i="14"/>
  <c r="O33" i="14"/>
  <c r="O34" i="14"/>
  <c r="O35" i="14"/>
  <c r="O36" i="14"/>
  <c r="O37" i="14"/>
  <c r="M23" i="14"/>
  <c r="M25" i="14"/>
  <c r="M28" i="14"/>
  <c r="M29" i="14"/>
  <c r="M30" i="14"/>
  <c r="M31" i="14"/>
  <c r="M32" i="14"/>
  <c r="M33" i="14"/>
  <c r="M34" i="14"/>
  <c r="M35" i="14"/>
  <c r="M36" i="14"/>
  <c r="M37" i="14"/>
  <c r="O22" i="14"/>
  <c r="P22" i="14"/>
  <c r="O21" i="14"/>
  <c r="P21" i="14"/>
  <c r="M21" i="14"/>
  <c r="P18" i="14"/>
  <c r="P19" i="14"/>
  <c r="P20" i="14"/>
  <c r="O18" i="14"/>
  <c r="O19" i="14"/>
  <c r="O20" i="14"/>
  <c r="M18" i="14"/>
  <c r="M19" i="14"/>
  <c r="M20" i="14"/>
  <c r="O17" i="14"/>
  <c r="P17" i="14"/>
  <c r="M17" i="14"/>
  <c r="O15" i="14"/>
  <c r="P15" i="14"/>
  <c r="P14" i="14"/>
  <c r="M14" i="14"/>
  <c r="P10" i="14"/>
  <c r="P11" i="14"/>
  <c r="P12" i="14"/>
  <c r="P13" i="14"/>
  <c r="O10" i="14"/>
  <c r="O11" i="14"/>
  <c r="O13" i="14"/>
  <c r="M10" i="14"/>
  <c r="M11" i="14"/>
  <c r="M12" i="14"/>
  <c r="M13" i="14"/>
  <c r="P9" i="14"/>
  <c r="M9" i="14"/>
  <c r="P7" i="14"/>
  <c r="L8" i="14"/>
  <c r="L15" i="14"/>
  <c r="L17" i="14"/>
  <c r="L18" i="14"/>
  <c r="L19" i="14"/>
  <c r="L20" i="14"/>
  <c r="L7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I22" i="14"/>
  <c r="J22" i="14"/>
  <c r="K22" i="14"/>
  <c r="H22" i="14"/>
  <c r="I16" i="14"/>
  <c r="J16" i="14"/>
  <c r="K16" i="14"/>
  <c r="H16" i="14"/>
  <c r="J14" i="14"/>
  <c r="K14" i="14"/>
  <c r="K10" i="14"/>
  <c r="K11" i="14"/>
  <c r="K12" i="14"/>
  <c r="K13" i="14"/>
  <c r="K9" i="14"/>
  <c r="J10" i="14"/>
  <c r="J11" i="14"/>
  <c r="J12" i="14"/>
  <c r="J13" i="14"/>
  <c r="J9" i="14"/>
  <c r="I14" i="14"/>
  <c r="I13" i="14"/>
  <c r="I10" i="14"/>
  <c r="I11" i="14"/>
  <c r="I12" i="14"/>
  <c r="I9" i="14"/>
  <c r="H21" i="7"/>
  <c r="I21" i="7"/>
  <c r="F28" i="10"/>
  <c r="F24" i="10" s="1"/>
  <c r="H28" i="10"/>
  <c r="H59" i="7"/>
  <c r="H58" i="7" s="1"/>
  <c r="H54" i="7"/>
  <c r="I54" i="7"/>
  <c r="J54" i="7"/>
  <c r="H52" i="7"/>
  <c r="I52" i="7"/>
  <c r="J52" i="7"/>
  <c r="H48" i="7"/>
  <c r="I48" i="7"/>
  <c r="H45" i="7"/>
  <c r="I45" i="7"/>
  <c r="H39" i="7"/>
  <c r="I39" i="7"/>
  <c r="H36" i="7"/>
  <c r="I36" i="7"/>
  <c r="J36" i="7"/>
  <c r="F30" i="7"/>
  <c r="F27" i="7" s="1"/>
  <c r="G30" i="7"/>
  <c r="G27" i="7" s="1"/>
  <c r="H30" i="7"/>
  <c r="H27" i="7" s="1"/>
  <c r="I30" i="7"/>
  <c r="I27" i="7" s="1"/>
  <c r="J30" i="7"/>
  <c r="J27" i="7" s="1"/>
  <c r="E30" i="7"/>
  <c r="E27" i="7" s="1"/>
  <c r="F13" i="7"/>
  <c r="G13" i="7"/>
  <c r="H13" i="7"/>
  <c r="I13" i="7"/>
  <c r="J13" i="7"/>
  <c r="G9" i="14"/>
  <c r="G10" i="14"/>
  <c r="G11" i="14"/>
  <c r="G12" i="14"/>
  <c r="G13" i="14"/>
  <c r="G14" i="14"/>
  <c r="G16" i="14"/>
  <c r="G20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7" i="14"/>
  <c r="E22" i="14"/>
  <c r="J54" i="1"/>
  <c r="K54" i="1"/>
  <c r="L54" i="1"/>
  <c r="E64" i="1"/>
  <c r="E65" i="1"/>
  <c r="G65" i="1" s="1"/>
  <c r="E66" i="1"/>
  <c r="G66" i="1" s="1"/>
  <c r="E68" i="1"/>
  <c r="E69" i="1"/>
  <c r="E70" i="1"/>
  <c r="E72" i="1"/>
  <c r="E73" i="1"/>
  <c r="E74" i="1"/>
  <c r="E75" i="1"/>
  <c r="E76" i="1"/>
  <c r="E78" i="1"/>
  <c r="E81" i="1"/>
  <c r="E82" i="1"/>
  <c r="E83" i="1"/>
  <c r="E52" i="1"/>
  <c r="E53" i="1"/>
  <c r="E51" i="1"/>
  <c r="E38" i="1"/>
  <c r="E39" i="1"/>
  <c r="E37" i="1"/>
  <c r="K9" i="1"/>
  <c r="F18" i="14"/>
  <c r="G18" i="14" s="1"/>
  <c r="F19" i="14"/>
  <c r="G19" i="14" s="1"/>
  <c r="F17" i="14"/>
  <c r="G17" i="14" s="1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7" i="14"/>
  <c r="F22" i="14"/>
  <c r="F8" i="14"/>
  <c r="F15" i="14"/>
  <c r="F7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7" i="14"/>
  <c r="D22" i="14"/>
  <c r="D15" i="14"/>
  <c r="D7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7" i="14"/>
  <c r="C22" i="14"/>
  <c r="C15" i="14"/>
  <c r="C8" i="14"/>
  <c r="C7" i="14"/>
  <c r="E61" i="1" l="1"/>
  <c r="E26" i="10"/>
  <c r="F9" i="7"/>
  <c r="V16" i="14"/>
  <c r="X16" i="14" s="1"/>
  <c r="AB28" i="14"/>
  <c r="AC28" i="14" s="1"/>
  <c r="R28" i="14"/>
  <c r="S28" i="14" s="1"/>
  <c r="AB36" i="14"/>
  <c r="AC36" i="14" s="1"/>
  <c r="R37" i="14"/>
  <c r="S37" i="14" s="1"/>
  <c r="AB31" i="14"/>
  <c r="AC31" i="14" s="1"/>
  <c r="R31" i="14"/>
  <c r="S31" i="14" s="1"/>
  <c r="R23" i="14"/>
  <c r="S23" i="14" s="1"/>
  <c r="AB23" i="14"/>
  <c r="AC23" i="14" s="1"/>
  <c r="AB37" i="14"/>
  <c r="AC37" i="14" s="1"/>
  <c r="R32" i="14"/>
  <c r="S32" i="14" s="1"/>
  <c r="AB32" i="14"/>
  <c r="AC32" i="14" s="1"/>
  <c r="AB34" i="14"/>
  <c r="AC34" i="14" s="1"/>
  <c r="R34" i="14"/>
  <c r="S34" i="14" s="1"/>
  <c r="AB30" i="14"/>
  <c r="AC30" i="14" s="1"/>
  <c r="R30" i="14"/>
  <c r="S30" i="14" s="1"/>
  <c r="AB26" i="14"/>
  <c r="AC26" i="14" s="1"/>
  <c r="R26" i="14"/>
  <c r="S26" i="14" s="1"/>
  <c r="R24" i="14"/>
  <c r="S24" i="14" s="1"/>
  <c r="AB24" i="14"/>
  <c r="AC24" i="14" s="1"/>
  <c r="R33" i="14"/>
  <c r="S33" i="14" s="1"/>
  <c r="AB33" i="14"/>
  <c r="AC33" i="14" s="1"/>
  <c r="AB29" i="14"/>
  <c r="AC29" i="14" s="1"/>
  <c r="R29" i="14"/>
  <c r="S29" i="14" s="1"/>
  <c r="R7" i="14"/>
  <c r="S7" i="14" s="1"/>
  <c r="AB7" i="14"/>
  <c r="AC7" i="14" s="1"/>
  <c r="AB8" i="14"/>
  <c r="AC8" i="14" s="1"/>
  <c r="R8" i="14"/>
  <c r="S8" i="14" s="1"/>
  <c r="R27" i="14"/>
  <c r="S27" i="14" s="1"/>
  <c r="AB27" i="14"/>
  <c r="AC27" i="14" s="1"/>
  <c r="E28" i="10"/>
  <c r="E24" i="10" s="1"/>
  <c r="G28" i="10"/>
  <c r="G24" i="10" s="1"/>
  <c r="X17" i="14"/>
  <c r="X33" i="14"/>
  <c r="X26" i="14"/>
  <c r="I33" i="7"/>
  <c r="X10" i="14"/>
  <c r="X37" i="14"/>
  <c r="X29" i="14"/>
  <c r="X25" i="14"/>
  <c r="H34" i="7"/>
  <c r="H33" i="7" s="1"/>
  <c r="X7" i="14"/>
  <c r="K7" i="1"/>
  <c r="AA38" i="14"/>
  <c r="AK38" i="14"/>
  <c r="Q11" i="14"/>
  <c r="Q13" i="14"/>
  <c r="E49" i="1"/>
  <c r="E36" i="1"/>
  <c r="I38" i="14"/>
  <c r="H38" i="14"/>
  <c r="X34" i="14"/>
  <c r="Q10" i="14"/>
  <c r="X11" i="14"/>
  <c r="W38" i="14"/>
  <c r="X30" i="14"/>
  <c r="X36" i="14"/>
  <c r="X32" i="14"/>
  <c r="X28" i="14"/>
  <c r="X24" i="14"/>
  <c r="X35" i="14"/>
  <c r="X31" i="14"/>
  <c r="X27" i="14"/>
  <c r="X23" i="14"/>
  <c r="X22" i="14"/>
  <c r="X18" i="14"/>
  <c r="X19" i="14"/>
  <c r="U38" i="14"/>
  <c r="X14" i="14"/>
  <c r="X13" i="14"/>
  <c r="X12" i="14"/>
  <c r="V38" i="14"/>
  <c r="X9" i="14"/>
  <c r="T38" i="14"/>
  <c r="X8" i="14"/>
  <c r="K38" i="14"/>
  <c r="F38" i="14"/>
  <c r="C38" i="14"/>
  <c r="D38" i="14"/>
  <c r="E38" i="14"/>
  <c r="J38" i="14"/>
  <c r="Q37" i="14"/>
  <c r="Q33" i="14"/>
  <c r="Q29" i="14"/>
  <c r="Q25" i="14"/>
  <c r="Q17" i="14"/>
  <c r="Q18" i="14"/>
  <c r="Q21" i="14"/>
  <c r="Q23" i="14"/>
  <c r="Q34" i="14"/>
  <c r="Q20" i="14"/>
  <c r="Q19" i="14"/>
  <c r="Q36" i="14"/>
  <c r="Q32" i="14"/>
  <c r="Q28" i="14"/>
  <c r="Q35" i="14"/>
  <c r="Q31" i="14"/>
  <c r="L12" i="14"/>
  <c r="G8" i="14"/>
  <c r="L11" i="14"/>
  <c r="L22" i="14"/>
  <c r="L37" i="14"/>
  <c r="L33" i="14"/>
  <c r="L29" i="14"/>
  <c r="L25" i="14"/>
  <c r="L35" i="14"/>
  <c r="L31" i="14"/>
  <c r="L27" i="14"/>
  <c r="L23" i="14"/>
  <c r="L14" i="14"/>
  <c r="L10" i="14"/>
  <c r="L9" i="14"/>
  <c r="L13" i="14"/>
  <c r="L34" i="14"/>
  <c r="L30" i="14"/>
  <c r="L26" i="14"/>
  <c r="L36" i="14"/>
  <c r="L32" i="14"/>
  <c r="L28" i="14"/>
  <c r="L24" i="14"/>
  <c r="G22" i="14"/>
  <c r="L16" i="14"/>
  <c r="G33" i="14"/>
  <c r="G29" i="14"/>
  <c r="G25" i="14"/>
  <c r="G15" i="14"/>
  <c r="G34" i="14"/>
  <c r="G30" i="14"/>
  <c r="G26" i="14"/>
  <c r="G7" i="14"/>
  <c r="G35" i="14"/>
  <c r="G31" i="14"/>
  <c r="G27" i="14"/>
  <c r="G23" i="14"/>
  <c r="G37" i="14"/>
  <c r="G32" i="14"/>
  <c r="G28" i="14"/>
  <c r="G24" i="14"/>
  <c r="H9" i="7"/>
  <c r="J9" i="7"/>
  <c r="I9" i="7"/>
  <c r="H7" i="7" l="1"/>
  <c r="G49" i="1"/>
  <c r="AB15" i="14"/>
  <c r="AC15" i="14" s="1"/>
  <c r="F49" i="1"/>
  <c r="R15" i="14"/>
  <c r="S15" i="14" s="1"/>
  <c r="F61" i="1"/>
  <c r="R25" i="14"/>
  <c r="S25" i="14" s="1"/>
  <c r="AB25" i="14"/>
  <c r="AC25" i="14" s="1"/>
  <c r="J7" i="7"/>
  <c r="I7" i="7"/>
  <c r="X38" i="14"/>
  <c r="G38" i="14"/>
  <c r="L38" i="14"/>
  <c r="F60" i="1" l="1"/>
  <c r="G61" i="1"/>
  <c r="M22" i="14"/>
  <c r="Q22" i="14" s="1"/>
  <c r="G60" i="1" l="1"/>
  <c r="F33" i="1"/>
  <c r="F7" i="1" s="1"/>
  <c r="O27" i="14"/>
  <c r="O30" i="14"/>
  <c r="Q30" i="14" s="1"/>
  <c r="M24" i="14" l="1"/>
  <c r="M26" i="14"/>
  <c r="M27" i="14"/>
  <c r="Q27" i="14" s="1"/>
  <c r="O14" i="14" l="1"/>
  <c r="Q14" i="14" s="1"/>
  <c r="O12" i="14" l="1"/>
  <c r="Q12" i="14" s="1"/>
  <c r="O9" i="14"/>
  <c r="Q9" i="14" s="1"/>
  <c r="F30" i="1"/>
  <c r="G30" i="1"/>
  <c r="H30" i="1"/>
  <c r="H27" i="1" s="1"/>
  <c r="J30" i="1"/>
  <c r="J27" i="1" s="1"/>
  <c r="L30" i="1"/>
  <c r="L27" i="1" s="1"/>
  <c r="E32" i="1"/>
  <c r="E30" i="1" s="1"/>
  <c r="L13" i="1"/>
  <c r="L9" i="1" s="1"/>
  <c r="G27" i="1" l="1"/>
  <c r="F27" i="1"/>
  <c r="K68" i="8" l="1"/>
  <c r="P26" i="14" l="1"/>
  <c r="H69" i="8"/>
  <c r="H7" i="8"/>
  <c r="P38" i="14" l="1"/>
  <c r="Q26" i="14"/>
  <c r="M7" i="14"/>
  <c r="M15" i="14" l="1"/>
  <c r="Q15" i="14" s="1"/>
  <c r="M38" i="14" l="1"/>
  <c r="F17" i="13"/>
  <c r="G17" i="13"/>
  <c r="E60" i="1" l="1"/>
  <c r="E33" i="1" s="1"/>
  <c r="L40" i="1"/>
  <c r="J36" i="1"/>
  <c r="J33" i="1" s="1"/>
  <c r="J7" i="1" s="1"/>
  <c r="J34" i="1" l="1"/>
  <c r="L34" i="1"/>
  <c r="L7" i="1"/>
  <c r="O7" i="14" l="1"/>
  <c r="F64" i="10"/>
  <c r="G64" i="10"/>
  <c r="E64" i="10"/>
  <c r="Q7" i="14" l="1"/>
  <c r="O24" i="14" l="1"/>
  <c r="F14" i="13" l="1"/>
  <c r="R22" i="14"/>
  <c r="AB22" i="14"/>
  <c r="Q24" i="14"/>
  <c r="Q38" i="14" s="1"/>
  <c r="O38" i="14"/>
  <c r="D11" i="11"/>
  <c r="D12" i="11" s="1"/>
  <c r="D10" i="11"/>
  <c r="AC22" i="14" l="1"/>
  <c r="AC38" i="14" s="1"/>
  <c r="AB38" i="14"/>
  <c r="G14" i="13"/>
  <c r="S22" i="14"/>
  <c r="S38" i="14" s="1"/>
  <c r="R38" i="14"/>
  <c r="F21" i="10"/>
  <c r="G21" i="10"/>
  <c r="H21" i="10"/>
  <c r="E21" i="10" l="1"/>
  <c r="J11" i="8" l="1"/>
  <c r="I11" i="8"/>
  <c r="K11" i="8"/>
  <c r="K9" i="8" s="1"/>
  <c r="F12" i="13" l="1"/>
  <c r="G12" i="13"/>
  <c r="G15" i="13"/>
  <c r="F15" i="13"/>
  <c r="D7" i="11" l="1"/>
  <c r="E7" i="11"/>
  <c r="C7" i="11"/>
  <c r="E18" i="10" l="1"/>
  <c r="I29" i="8"/>
  <c r="I9" i="8" s="1"/>
  <c r="J29" i="8"/>
  <c r="J9" i="8" s="1"/>
  <c r="I68" i="8"/>
  <c r="J68" i="8"/>
  <c r="I58" i="8"/>
  <c r="J58" i="8"/>
  <c r="K58" i="8"/>
  <c r="K54" i="8"/>
  <c r="I51" i="8"/>
  <c r="K51" i="8"/>
  <c r="I45" i="8"/>
  <c r="K45" i="8"/>
  <c r="I42" i="8"/>
  <c r="J42" i="8"/>
  <c r="K42" i="8"/>
  <c r="I39" i="8" l="1"/>
  <c r="I7" i="8" s="1"/>
  <c r="J39" i="8"/>
  <c r="J7" i="8" s="1"/>
  <c r="K39" i="8"/>
  <c r="K7" i="8" s="1"/>
  <c r="G9" i="8" l="1"/>
  <c r="G36" i="1"/>
  <c r="H36" i="1"/>
  <c r="H18" i="10"/>
  <c r="G18" i="10"/>
  <c r="F18" i="10"/>
  <c r="F54" i="10" l="1"/>
  <c r="F41" i="10"/>
  <c r="F71" i="10"/>
  <c r="F73" i="10"/>
  <c r="G73" i="10"/>
  <c r="H8" i="10"/>
  <c r="H16" i="10"/>
  <c r="H17" i="10"/>
  <c r="H22" i="10"/>
  <c r="H24" i="10"/>
  <c r="H29" i="10"/>
  <c r="H30" i="10"/>
  <c r="H33" i="10"/>
  <c r="H35" i="10"/>
  <c r="H36" i="10"/>
  <c r="H41" i="10"/>
  <c r="H42" i="10"/>
  <c r="H44" i="10"/>
  <c r="H45" i="10"/>
  <c r="H46" i="10"/>
  <c r="H47" i="10"/>
  <c r="H48" i="10"/>
  <c r="H50" i="10"/>
  <c r="H51" i="10"/>
  <c r="H54" i="10"/>
  <c r="H55" i="10"/>
  <c r="H57" i="10"/>
  <c r="H59" i="10"/>
  <c r="H60" i="10"/>
  <c r="H61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6" i="10"/>
  <c r="H87" i="10"/>
  <c r="H88" i="10"/>
  <c r="H89" i="10"/>
  <c r="H90" i="10"/>
  <c r="H91" i="10"/>
  <c r="H92" i="10"/>
  <c r="H93" i="10"/>
  <c r="H94" i="10"/>
  <c r="G8" i="10"/>
  <c r="G17" i="10"/>
  <c r="G14" i="10" s="1"/>
  <c r="G9" i="10" s="1"/>
  <c r="G22" i="10"/>
  <c r="G29" i="10"/>
  <c r="G30" i="10"/>
  <c r="G33" i="10"/>
  <c r="G35" i="10"/>
  <c r="G36" i="10"/>
  <c r="G42" i="10"/>
  <c r="G44" i="10"/>
  <c r="G45" i="10"/>
  <c r="G46" i="10"/>
  <c r="G47" i="10"/>
  <c r="G48" i="10"/>
  <c r="G50" i="10"/>
  <c r="G51" i="10"/>
  <c r="G55" i="10"/>
  <c r="G57" i="10"/>
  <c r="G59" i="10"/>
  <c r="G60" i="10"/>
  <c r="G61" i="10"/>
  <c r="G69" i="10"/>
  <c r="G70" i="10"/>
  <c r="G71" i="10"/>
  <c r="G72" i="10"/>
  <c r="G74" i="10"/>
  <c r="G75" i="10"/>
  <c r="G76" i="10"/>
  <c r="G77" i="10"/>
  <c r="G78" i="10"/>
  <c r="G79" i="10"/>
  <c r="G80" i="10"/>
  <c r="G81" i="10"/>
  <c r="G82" i="10"/>
  <c r="G83" i="10"/>
  <c r="G86" i="10"/>
  <c r="G87" i="10"/>
  <c r="G88" i="10"/>
  <c r="G89" i="10"/>
  <c r="G90" i="10"/>
  <c r="G91" i="10"/>
  <c r="G92" i="10"/>
  <c r="G93" i="10"/>
  <c r="G94" i="10"/>
  <c r="F8" i="10"/>
  <c r="F17" i="10"/>
  <c r="F14" i="10" s="1"/>
  <c r="F9" i="10" s="1"/>
  <c r="F22" i="10"/>
  <c r="F29" i="10"/>
  <c r="F30" i="10"/>
  <c r="F33" i="10"/>
  <c r="F35" i="10"/>
  <c r="F36" i="10"/>
  <c r="F42" i="10"/>
  <c r="F44" i="10"/>
  <c r="F45" i="10"/>
  <c r="F46" i="10"/>
  <c r="F47" i="10"/>
  <c r="F48" i="10"/>
  <c r="F50" i="10"/>
  <c r="F51" i="10"/>
  <c r="F55" i="10"/>
  <c r="F57" i="10"/>
  <c r="F59" i="10"/>
  <c r="F60" i="10"/>
  <c r="F61" i="10"/>
  <c r="F69" i="10"/>
  <c r="F70" i="10"/>
  <c r="F72" i="10"/>
  <c r="F74" i="10"/>
  <c r="F75" i="10"/>
  <c r="F76" i="10"/>
  <c r="F77" i="10"/>
  <c r="F78" i="10"/>
  <c r="F79" i="10"/>
  <c r="F80" i="10"/>
  <c r="F81" i="10"/>
  <c r="F82" i="10"/>
  <c r="F83" i="10"/>
  <c r="F86" i="10"/>
  <c r="F87" i="10"/>
  <c r="F88" i="10"/>
  <c r="F89" i="10"/>
  <c r="F90" i="10"/>
  <c r="F91" i="10"/>
  <c r="F92" i="10"/>
  <c r="F93" i="10"/>
  <c r="F94" i="10"/>
  <c r="E8" i="10"/>
  <c r="E17" i="10"/>
  <c r="E14" i="10" s="1"/>
  <c r="E9" i="10" s="1"/>
  <c r="E22" i="10"/>
  <c r="E29" i="10"/>
  <c r="E30" i="10"/>
  <c r="E33" i="10"/>
  <c r="E35" i="10"/>
  <c r="E36" i="10"/>
  <c r="E41" i="10"/>
  <c r="E42" i="10"/>
  <c r="E44" i="10"/>
  <c r="E45" i="10"/>
  <c r="E46" i="10"/>
  <c r="E47" i="10"/>
  <c r="E48" i="10"/>
  <c r="E50" i="10"/>
  <c r="E51" i="10"/>
  <c r="E54" i="10"/>
  <c r="E55" i="10"/>
  <c r="E57" i="10"/>
  <c r="E59" i="10"/>
  <c r="E60" i="10"/>
  <c r="E61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6" i="10"/>
  <c r="E87" i="10"/>
  <c r="E88" i="10"/>
  <c r="E89" i="10"/>
  <c r="E90" i="10"/>
  <c r="E91" i="10"/>
  <c r="E92" i="10"/>
  <c r="E93" i="10"/>
  <c r="E94" i="10"/>
  <c r="G54" i="10" l="1"/>
  <c r="G21" i="13"/>
  <c r="G19" i="13" s="1"/>
  <c r="G11" i="13" s="1"/>
  <c r="G7" i="13" s="1"/>
  <c r="G24" i="13" s="1"/>
  <c r="F21" i="13"/>
  <c r="F19" i="13" s="1"/>
  <c r="E83" i="9"/>
  <c r="F82" i="9"/>
  <c r="G82" i="9"/>
  <c r="H82" i="9"/>
  <c r="E82" i="9"/>
  <c r="F78" i="9"/>
  <c r="G78" i="9"/>
  <c r="H78" i="9"/>
  <c r="E78" i="9"/>
  <c r="E80" i="9"/>
  <c r="E81" i="9"/>
  <c r="E79" i="9"/>
  <c r="E75" i="9"/>
  <c r="E76" i="9"/>
  <c r="E77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60" i="9"/>
  <c r="F58" i="9"/>
  <c r="F57" i="9" s="1"/>
  <c r="G58" i="9"/>
  <c r="G57" i="9" s="1"/>
  <c r="H58" i="9"/>
  <c r="H57" i="9"/>
  <c r="E53" i="9"/>
  <c r="E55" i="9"/>
  <c r="E56" i="9"/>
  <c r="E54" i="9"/>
  <c r="F53" i="9"/>
  <c r="G53" i="9"/>
  <c r="H53" i="9"/>
  <c r="E52" i="9"/>
  <c r="F51" i="9"/>
  <c r="G51" i="9"/>
  <c r="H51" i="9"/>
  <c r="E50" i="9"/>
  <c r="E49" i="9"/>
  <c r="F47" i="9"/>
  <c r="G47" i="9"/>
  <c r="H47" i="9"/>
  <c r="E46" i="9"/>
  <c r="E44" i="9" s="1"/>
  <c r="E45" i="9"/>
  <c r="F44" i="9"/>
  <c r="G44" i="9"/>
  <c r="H44" i="9"/>
  <c r="E40" i="9"/>
  <c r="E41" i="9"/>
  <c r="E42" i="9"/>
  <c r="E43" i="9"/>
  <c r="E38" i="9" s="1"/>
  <c r="E39" i="9"/>
  <c r="F38" i="9"/>
  <c r="G38" i="9"/>
  <c r="H38" i="9"/>
  <c r="E37" i="9"/>
  <c r="E36" i="9"/>
  <c r="F35" i="9"/>
  <c r="G35" i="9"/>
  <c r="H35" i="9"/>
  <c r="E31" i="9"/>
  <c r="F29" i="9"/>
  <c r="G29" i="9"/>
  <c r="H29" i="9"/>
  <c r="H26" i="9" s="1"/>
  <c r="F26" i="9"/>
  <c r="F9" i="9" s="1"/>
  <c r="G26" i="9"/>
  <c r="E24" i="9"/>
  <c r="E23" i="9"/>
  <c r="E19" i="9"/>
  <c r="E18" i="9"/>
  <c r="E17" i="9"/>
  <c r="F21" i="9"/>
  <c r="G21" i="9"/>
  <c r="H21" i="9"/>
  <c r="E16" i="9"/>
  <c r="E15" i="9"/>
  <c r="E11" i="9"/>
  <c r="F13" i="9"/>
  <c r="G13" i="9"/>
  <c r="H13" i="9"/>
  <c r="G9" i="9"/>
  <c r="E8" i="9"/>
  <c r="E7" i="9"/>
  <c r="K58" i="9"/>
  <c r="J58" i="9"/>
  <c r="J57" i="9" s="1"/>
  <c r="I58" i="9"/>
  <c r="I57" i="9" s="1"/>
  <c r="K57" i="9"/>
  <c r="K53" i="9"/>
  <c r="J53" i="9"/>
  <c r="I53" i="9"/>
  <c r="K51" i="9"/>
  <c r="J51" i="9"/>
  <c r="I51" i="9"/>
  <c r="E51" i="9"/>
  <c r="K47" i="9"/>
  <c r="J47" i="9"/>
  <c r="I47" i="9"/>
  <c r="E47" i="9"/>
  <c r="K44" i="9"/>
  <c r="J44" i="9"/>
  <c r="I44" i="9"/>
  <c r="K38" i="9"/>
  <c r="J38" i="9"/>
  <c r="I38" i="9"/>
  <c r="K35" i="9"/>
  <c r="J35" i="9"/>
  <c r="I35" i="9"/>
  <c r="E35" i="9"/>
  <c r="K29" i="9"/>
  <c r="J29" i="9"/>
  <c r="I29" i="9"/>
  <c r="E29" i="9"/>
  <c r="K26" i="9"/>
  <c r="J26" i="9"/>
  <c r="I26" i="9"/>
  <c r="E26" i="9"/>
  <c r="K21" i="9"/>
  <c r="J21" i="9"/>
  <c r="I21" i="9"/>
  <c r="E21" i="9"/>
  <c r="K13" i="9"/>
  <c r="J13" i="9"/>
  <c r="I13" i="9"/>
  <c r="I9" i="9" s="1"/>
  <c r="E13" i="9"/>
  <c r="K9" i="9"/>
  <c r="J9" i="9"/>
  <c r="F39" i="8" l="1"/>
  <c r="G41" i="10"/>
  <c r="F11" i="13"/>
  <c r="F7" i="13" s="1"/>
  <c r="F24" i="13" s="1"/>
  <c r="E58" i="9"/>
  <c r="E57" i="9" s="1"/>
  <c r="H32" i="9"/>
  <c r="G32" i="9"/>
  <c r="J32" i="9"/>
  <c r="J7" i="9" s="1"/>
  <c r="F32" i="9"/>
  <c r="K32" i="9"/>
  <c r="K7" i="9" s="1"/>
  <c r="I32" i="9"/>
  <c r="I7" i="9" s="1"/>
  <c r="H9" i="9"/>
  <c r="E9" i="9"/>
  <c r="E32" i="9"/>
  <c r="E17" i="13"/>
  <c r="E15" i="13" s="1"/>
  <c r="E54" i="7"/>
  <c r="E58" i="10" s="1"/>
  <c r="E48" i="7"/>
  <c r="E13" i="7"/>
  <c r="E9" i="7" s="1"/>
  <c r="E14" i="13"/>
  <c r="E12" i="13" s="1"/>
  <c r="H40" i="10"/>
  <c r="F40" i="1"/>
  <c r="G40" i="1"/>
  <c r="H40" i="1"/>
  <c r="E40" i="1"/>
  <c r="F46" i="1"/>
  <c r="G46" i="1"/>
  <c r="H46" i="1"/>
  <c r="E46" i="1"/>
  <c r="H52" i="10"/>
  <c r="F54" i="1"/>
  <c r="G54" i="1"/>
  <c r="H54" i="1"/>
  <c r="E54" i="1"/>
  <c r="E39" i="8" l="1"/>
  <c r="E7" i="8" s="1"/>
  <c r="F48" i="7"/>
  <c r="F34" i="7" s="1"/>
  <c r="F33" i="7" s="1"/>
  <c r="F7" i="7" s="1"/>
  <c r="E34" i="7"/>
  <c r="E33" i="7" s="1"/>
  <c r="F52" i="10"/>
  <c r="H34" i="1"/>
  <c r="H38" i="10" s="1"/>
  <c r="H33" i="1"/>
  <c r="E34" i="1"/>
  <c r="H56" i="10"/>
  <c r="H49" i="10"/>
  <c r="H43" i="10"/>
  <c r="H58" i="10"/>
  <c r="G67" i="10"/>
  <c r="F40" i="10"/>
  <c r="F43" i="10"/>
  <c r="F49" i="10"/>
  <c r="F56" i="10"/>
  <c r="F58" i="10"/>
  <c r="F67" i="10"/>
  <c r="G33" i="1"/>
  <c r="G43" i="10"/>
  <c r="G49" i="10"/>
  <c r="G56" i="10"/>
  <c r="G58" i="10"/>
  <c r="H67" i="10"/>
  <c r="E43" i="10"/>
  <c r="E49" i="10"/>
  <c r="E52" i="10"/>
  <c r="E56" i="10"/>
  <c r="E40" i="10"/>
  <c r="G40" i="10"/>
  <c r="E21" i="13"/>
  <c r="E19" i="13" s="1"/>
  <c r="E67" i="10"/>
  <c r="F34" i="10"/>
  <c r="F22" i="1"/>
  <c r="G22" i="1"/>
  <c r="H22" i="1"/>
  <c r="H13" i="1"/>
  <c r="E37" i="10" l="1"/>
  <c r="G48" i="7"/>
  <c r="G34" i="7"/>
  <c r="G33" i="7" s="1"/>
  <c r="G7" i="7" s="1"/>
  <c r="E7" i="7"/>
  <c r="G52" i="10"/>
  <c r="E11" i="13"/>
  <c r="E7" i="13" s="1"/>
  <c r="E24" i="13" s="1"/>
  <c r="F38" i="10"/>
  <c r="H9" i="1"/>
  <c r="E38" i="10"/>
  <c r="G26" i="10"/>
  <c r="F26" i="10"/>
  <c r="H66" i="10"/>
  <c r="H14" i="10"/>
  <c r="H26" i="10"/>
  <c r="F31" i="10"/>
  <c r="E66" i="10"/>
  <c r="F66" i="10"/>
  <c r="E27" i="1"/>
  <c r="E34" i="10"/>
  <c r="H34" i="10"/>
  <c r="G34" i="10"/>
  <c r="G38" i="10" l="1"/>
  <c r="G39" i="8"/>
  <c r="H37" i="10"/>
  <c r="G31" i="10"/>
  <c r="G7" i="1"/>
  <c r="H31" i="10"/>
  <c r="E31" i="10"/>
  <c r="E7" i="1"/>
  <c r="G66" i="10"/>
  <c r="F37" i="10" l="1"/>
  <c r="F7" i="10"/>
  <c r="G7" i="10"/>
  <c r="E7" i="10"/>
  <c r="H9" i="10"/>
  <c r="H7" i="1"/>
  <c r="G37" i="10" l="1"/>
  <c r="H7" i="10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14"/>
            <color indexed="81"/>
            <rFont val="Tahoma"/>
            <family val="2"/>
            <charset val="204"/>
          </rPr>
          <t>Аренда , то что мы сдаем</t>
        </r>
      </text>
    </comment>
    <comment ref="C21" authorId="0" shapeId="0">
      <text>
        <r>
          <rPr>
            <b/>
            <sz val="12"/>
            <color indexed="81"/>
            <rFont val="Tahoma"/>
            <family val="2"/>
            <charset val="204"/>
          </rPr>
          <t>Возмещение коммунальных услуг от аренды (то что мы сдаем)</t>
        </r>
      </text>
    </comment>
  </commentList>
</comments>
</file>

<file path=xl/sharedStrings.xml><?xml version="1.0" encoding="utf-8"?>
<sst xmlns="http://schemas.openxmlformats.org/spreadsheetml/2006/main" count="1053" uniqueCount="291">
  <si>
    <t>Наименование показателя</t>
  </si>
  <si>
    <t>Код строки</t>
  </si>
  <si>
    <t>в том числе:</t>
  </si>
  <si>
    <t>субсидии на осуществление капитальных вложений</t>
  </si>
  <si>
    <t>X</t>
  </si>
  <si>
    <t>из них:</t>
  </si>
  <si>
    <t>Х</t>
  </si>
  <si>
    <t xml:space="preserve">оплата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</si>
  <si>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</si>
  <si>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</si>
  <si>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</si>
  <si>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</si>
  <si>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</si>
  <si>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</si>
  <si>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УТВЕРЖДАЮ</t>
  </si>
  <si>
    <t>(подпись)</t>
  </si>
  <si>
    <t xml:space="preserve">                                 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</si>
  <si>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</si>
  <si>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</si>
  <si>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</si>
  <si>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</si>
  <si>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</si>
  <si>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Аренда имущества</t>
  </si>
  <si>
    <t xml:space="preserve">в том числе: </t>
  </si>
  <si>
    <t>Расходы на закупку товаров, работ, услуг, всего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</si>
  <si>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</si>
  <si>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</si>
  <si>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</si>
  <si>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</si>
  <si>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 прочих материальных запасов однократного применения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</si>
  <si>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</si>
  <si>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</si>
  <si>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</si>
  <si>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по Сводному реестру</t>
  </si>
  <si>
    <t>ИНН</t>
  </si>
  <si>
    <t>КПП</t>
  </si>
  <si>
    <t>Учреждение</t>
  </si>
  <si>
    <t>администрация г.Мегион</t>
  </si>
  <si>
    <t>Раздел 1. Поступления и выплаты</t>
  </si>
  <si>
    <t>на 2020г. текущий финансовый год</t>
  </si>
  <si>
    <t>на 2022г. второй планового периода</t>
  </si>
  <si>
    <t>на 2021г. первый год планового периода</t>
  </si>
  <si>
    <t>за пределами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</si>
  <si>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</si>
  <si>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</si>
  <si>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</si>
  <si>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</si>
  <si>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</si>
  <si>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</t>
  </si>
  <si>
    <t>1000</t>
  </si>
  <si>
    <t>Доходы от собственности, всего</t>
  </si>
  <si>
    <t>1100</t>
  </si>
  <si>
    <t>1110</t>
  </si>
  <si>
    <t>Доходы от оказания услуг, работ, компенсации затрат учреждений, всего</t>
  </si>
  <si>
    <t>1200</t>
  </si>
  <si>
    <t>в том числе</t>
  </si>
  <si>
    <t>субсидии на финнасовое обеспечение выполнения муниципального задания за счет средств бюджета</t>
  </si>
  <si>
    <t>субсидии на финансовое обеспечение выполнения задания за счет средств бюджета Федерального фонда обязательного медицинского страхования</t>
  </si>
  <si>
    <t>1210</t>
  </si>
  <si>
    <t>1220</t>
  </si>
  <si>
    <t>Доходы от штрафов, пеней, иных сумм принудительного изъятия, всего</t>
  </si>
  <si>
    <t>1300</t>
  </si>
  <si>
    <t>целевые субсидии</t>
  </si>
  <si>
    <t>1310</t>
  </si>
  <si>
    <t>1400</t>
  </si>
  <si>
    <t>1500</t>
  </si>
  <si>
    <t>1510</t>
  </si>
  <si>
    <t>1520</t>
  </si>
  <si>
    <t>1900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</si>
  <si>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</si>
  <si>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</si>
  <si>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1980</t>
  </si>
  <si>
    <t>1981</t>
  </si>
  <si>
    <t>Безвозмездные денежные поступления, всего</t>
  </si>
  <si>
    <t>Прочие доходы, всего</t>
  </si>
  <si>
    <t>Доходы от операции с активами, всего</t>
  </si>
  <si>
    <r>
      <t xml:space="preserve">Код по бюджетной классификации Российской Федерации - </t>
    </r>
    <r>
      <rPr>
        <sz val="14"/>
        <color rgb="FFFF0000"/>
        <rFont val="Times New Roman"/>
        <family val="1"/>
        <charset val="204"/>
      </rPr>
      <t>КВР</t>
    </r>
  </si>
  <si>
    <r>
      <t xml:space="preserve">Аналитический код - </t>
    </r>
    <r>
      <rPr>
        <sz val="14"/>
        <color rgb="FFFF0000"/>
        <rFont val="Times New Roman"/>
        <family val="1"/>
        <charset val="204"/>
      </rPr>
      <t>КОСГУ</t>
    </r>
  </si>
  <si>
    <t>Сумма, руб</t>
  </si>
  <si>
    <t>Расходы, всего</t>
  </si>
  <si>
    <t>2000</t>
  </si>
  <si>
    <t>в том числе на: выплаты персоналу, всего:</t>
  </si>
  <si>
    <t>2100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</si>
  <si>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</si>
  <si>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</si>
  <si>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</si>
  <si>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</si>
  <si>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</si>
  <si>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</si>
  <si>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</si>
  <si>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 иные выплаты работникам</t>
  </si>
  <si>
    <t>на выплаты по оплате труда</t>
  </si>
  <si>
    <t>2141</t>
  </si>
  <si>
    <t>2142</t>
  </si>
  <si>
    <t>222</t>
  </si>
  <si>
    <t>214</t>
  </si>
  <si>
    <t>266</t>
  </si>
  <si>
    <t>211</t>
  </si>
  <si>
    <t>212</t>
  </si>
  <si>
    <t>226</t>
  </si>
  <si>
    <t>213</t>
  </si>
  <si>
    <t>социальные и иные выплаты населению, всего</t>
  </si>
  <si>
    <t>2200</t>
  </si>
  <si>
    <t>из них пособия и компенсации и иные социальные выплаты гражданам</t>
  </si>
  <si>
    <t>2211</t>
  </si>
  <si>
    <t>264</t>
  </si>
  <si>
    <t>Уплата налогов, сборов и иных платежей, всего</t>
  </si>
  <si>
    <t>2300</t>
  </si>
  <si>
    <t>из них: налог на имущество организации и земельный налог</t>
  </si>
  <si>
    <t>2310</t>
  </si>
  <si>
    <t>иные налоги</t>
  </si>
  <si>
    <t>2320</t>
  </si>
  <si>
    <t>уплата штрафов, пеней</t>
  </si>
  <si>
    <t>2330</t>
  </si>
  <si>
    <t>291</t>
  </si>
  <si>
    <t>2640</t>
  </si>
  <si>
    <t>2600</t>
  </si>
  <si>
    <t>в том числе прочую закупку товаров, работ и услуг, всего</t>
  </si>
  <si>
    <t>221</t>
  </si>
  <si>
    <t>223</t>
  </si>
  <si>
    <t>224</t>
  </si>
  <si>
    <t>225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</si>
  <si>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</si>
  <si>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</si>
  <si>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</si>
  <si>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</si>
  <si>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</si>
  <si>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</si>
  <si>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</si>
  <si>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</si>
  <si>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</si>
  <si>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из них :</t>
  </si>
  <si>
    <t>капитальные вложения в объекты гос.(муниципальной) собственности, всего</t>
  </si>
  <si>
    <t>2650</t>
  </si>
  <si>
    <t>2651</t>
  </si>
  <si>
    <t>в том числе: приобретение объектов недвижимого имущества</t>
  </si>
  <si>
    <t>строительство (реконструкция) объектов недвижимого имущества</t>
  </si>
  <si>
    <t>2652</t>
  </si>
  <si>
    <t>Выплаты, уменьшающие доход, всего</t>
  </si>
  <si>
    <t>3000</t>
  </si>
  <si>
    <t>в том числе: налог на прибыль</t>
  </si>
  <si>
    <t>налог на добавленную стоимость</t>
  </si>
  <si>
    <t>прочие налоги, уменьшающие доход</t>
  </si>
  <si>
    <t>3010</t>
  </si>
  <si>
    <t>3020</t>
  </si>
  <si>
    <t>3030</t>
  </si>
  <si>
    <t>Прочие выплаты , всего</t>
  </si>
  <si>
    <t>из них возврат в бюджет средств субсидии</t>
  </si>
  <si>
    <t>4000</t>
  </si>
  <si>
    <t>4010</t>
  </si>
  <si>
    <t>субсидии на выполнение муниципального задания</t>
  </si>
  <si>
    <t>субсидии на иные цели</t>
  </si>
  <si>
    <t>от приносящей доход деятельности</t>
  </si>
  <si>
    <t>152</t>
  </si>
  <si>
    <t>Муниципальное задание 2020</t>
  </si>
  <si>
    <t>Иные цели 2020</t>
  </si>
  <si>
    <t>Платная деятельность 2020</t>
  </si>
  <si>
    <t>Код по бюджетной классификации Российской Федерации - КВР</t>
  </si>
  <si>
    <t>Аналитический код - КОСГУ</t>
  </si>
  <si>
    <t>040</t>
  </si>
  <si>
    <t>ПФДО</t>
  </si>
  <si>
    <t>ПДД</t>
  </si>
  <si>
    <t>Спонсорские</t>
  </si>
  <si>
    <t>1230</t>
  </si>
  <si>
    <t>лагерь</t>
  </si>
  <si>
    <t>МЗ</t>
  </si>
  <si>
    <t>иные</t>
  </si>
  <si>
    <t>внеб</t>
  </si>
  <si>
    <t>Итого</t>
  </si>
  <si>
    <t xml:space="preserve">      (подпись)                                  (расшифровка подписи)</t>
  </si>
  <si>
    <t>(наименование должности уполномоченного лица органа-учредителя)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</si>
  <si>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</si>
  <si>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</si>
  <si>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</si>
  <si>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</si>
  <si>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</t>
  </si>
  <si>
    <t>в соответствии с Федеральным законом № 223-ФЗ</t>
  </si>
  <si>
    <t>1.4.4.2</t>
  </si>
  <si>
    <t xml:space="preserve">в том числе:
в соответствии с Федеральным законом № 44-ФЗ
</t>
  </si>
  <si>
    <t>1.4.4.1</t>
  </si>
  <si>
    <t>за счет прочих источников финансового обеспечения</t>
  </si>
  <si>
    <t>1.4.4</t>
  </si>
  <si>
    <t xml:space="preserve">за счет субсидий, предоставляемых на осуществление капитальных вложений </t>
  </si>
  <si>
    <t>1.4.3</t>
  </si>
  <si>
    <t xml:space="preserve">в соответствии с Федеральным законом № 223-ФЗ </t>
  </si>
  <si>
    <t>1.4.2.2</t>
  </si>
  <si>
    <t>1.4.2.1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</si>
  <si>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</si>
  <si>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</si>
  <si>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1.4.1.2</t>
  </si>
  <si>
    <t>1.4.11</t>
  </si>
  <si>
    <t xml:space="preserve">в том числе:
за счет субсидий, предоставляемых на финансовое обеспечение выполнения муниципального задания
</t>
  </si>
  <si>
    <t>1.4.1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</si>
  <si>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</si>
  <si>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1.4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</si>
  <si>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</si>
  <si>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</si>
  <si>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</si>
  <si>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1.2</t>
  </si>
  <si>
    <r>
      <rPr>
        <sz val="9"/>
        <rFont val="Times New Roman"/>
        <family val="1"/>
        <charset val="204"/>
      </rPr>
      <t xml:space="preserve">в том числе:
по контрактам (договорам), заключенным до начала текущего финансового года без применения норм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 </t>
    </r>
    <r>
      <rPr>
        <sz val="11"/>
        <rFont val="Times New Roman"/>
        <family val="1"/>
        <charset val="204"/>
      </rPr>
      <t xml:space="preserve">
</t>
    </r>
  </si>
  <si>
    <t>1.1</t>
  </si>
  <si>
    <t>Выплаты по расходам на закупку товаров, работ, услуг всего:</t>
  </si>
  <si>
    <t>Сумма</t>
  </si>
  <si>
    <t>Год начала закупки</t>
  </si>
  <si>
    <t>Коды строк</t>
  </si>
  <si>
    <t>N п/п</t>
  </si>
  <si>
    <t>Доходы по условным арендным платежам</t>
  </si>
  <si>
    <t>347</t>
  </si>
  <si>
    <t>Увеличение стоимости материальных запасов для целей капитальных вложений</t>
  </si>
  <si>
    <t>2340</t>
  </si>
  <si>
    <t>296</t>
  </si>
  <si>
    <t>Иные выплаты текущего характера физическим лицам</t>
  </si>
  <si>
    <t>0703</t>
  </si>
  <si>
    <t>0707</t>
  </si>
  <si>
    <t>на выплаты по оплате труда (лагерь)</t>
  </si>
  <si>
    <t>целевые субсидии (местный бюджет)</t>
  </si>
  <si>
    <t>297</t>
  </si>
  <si>
    <t>вб</t>
  </si>
  <si>
    <t>Иные</t>
  </si>
  <si>
    <t>Итого МЗ</t>
  </si>
  <si>
    <t>Итого иные</t>
  </si>
  <si>
    <t>спонсорские</t>
  </si>
  <si>
    <t>Итого вб</t>
  </si>
  <si>
    <t>КВР</t>
  </si>
  <si>
    <t>КОСГУ</t>
  </si>
  <si>
    <t>местный</t>
  </si>
  <si>
    <t xml:space="preserve">местный </t>
  </si>
  <si>
    <t>ХМАО</t>
  </si>
  <si>
    <t>мест</t>
  </si>
  <si>
    <t>пдд</t>
  </si>
  <si>
    <t>в том числе:  (спонсорские)</t>
  </si>
  <si>
    <t>293</t>
  </si>
  <si>
    <t>295</t>
  </si>
  <si>
    <t>Поступления текущего характера бюджетным и автономным учреждениям от сектора государственного управления</t>
  </si>
  <si>
    <t>229</t>
  </si>
  <si>
    <t>Арендная плата за пользование земельными участками и другими обособленными природными объектами</t>
  </si>
  <si>
    <t>Доходы от выбытия активов</t>
  </si>
  <si>
    <t>0412</t>
  </si>
  <si>
    <t>2700</t>
  </si>
  <si>
    <t>2710</t>
  </si>
  <si>
    <t>2720</t>
  </si>
  <si>
    <t>ОТМЕТКА О СОГЛАСОВАНИИ ОРГАНОМ-УЧРЕДИТЕЛЕМ</t>
  </si>
  <si>
    <t xml:space="preserve">    </t>
  </si>
  <si>
    <t>Глава по БК</t>
  </si>
  <si>
    <t>Орган, осуществляющий функции и полномочия учредителя</t>
  </si>
  <si>
    <t>(наименование должности  уполномоченного лица)</t>
  </si>
  <si>
    <t>(наименование органа-учредителя(учреждения)</t>
  </si>
  <si>
    <t>2023/2024</t>
  </si>
  <si>
    <t>субсидии на финнасовое обеспечение выполнения муниципального задания за счет средств бюджета (лагерь)</t>
  </si>
  <si>
    <t xml:space="preserve">Доходы от операционной аренды </t>
  </si>
  <si>
    <t>доходы от оказания работ, услуг (ПДД)</t>
  </si>
  <si>
    <t>Доходы от оказания услуг (ПФДО)</t>
  </si>
  <si>
    <t>от приносящей доход деятельности (ПДД)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</si>
  <si>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</si>
  <si>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</si>
  <si>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Прочие работы, услуги</t>
  </si>
  <si>
    <t>Социальные пособия и компенсации персоналу в денежной форме</t>
  </si>
  <si>
    <t>Заработная плата</t>
  </si>
  <si>
    <t>Начисления на выплаты по оплате труда</t>
  </si>
  <si>
    <t>Раздел 1.1 Поступления и выплаты</t>
  </si>
  <si>
    <t>Раздел 1.2   Поступления и выплаты</t>
  </si>
  <si>
    <t>Раздел 1.3  Поступления и выплаты</t>
  </si>
  <si>
    <t>Раздел 2. Сведения по выплатам на закупки товаров, работ, услуг</t>
  </si>
  <si>
    <t>Свод</t>
  </si>
  <si>
    <t xml:space="preserve">в том числе: (спонсорские) </t>
  </si>
  <si>
    <t>112</t>
  </si>
  <si>
    <t>Специальные расходы</t>
  </si>
  <si>
    <t>410</t>
  </si>
  <si>
    <t>265</t>
  </si>
  <si>
    <t>на 2023г. текущий финансовый год</t>
  </si>
  <si>
    <t>на 2024г. первый год планового периода</t>
  </si>
  <si>
    <t>на 2025г. второй планового периода</t>
  </si>
  <si>
    <t>на 2023 г. (текущий финансовый год)</t>
  </si>
  <si>
    <t>на 2024 г. (первый год планового периода)</t>
  </si>
  <si>
    <t>на 2025г. (второй год планового периода)</t>
  </si>
  <si>
    <t xml:space="preserve">на 2023 год и плановый период 2024 и 2025 годов </t>
  </si>
  <si>
    <t>2023 ПДД</t>
  </si>
  <si>
    <t>2023 пфдо</t>
  </si>
  <si>
    <t>2023 Спонсорские</t>
  </si>
  <si>
    <t>А.И. Перфецкий</t>
  </si>
  <si>
    <t>И.о.руководителя учреждения:    ________________  А.И.Перфецкий</t>
  </si>
  <si>
    <t>Исполнитель:  Ведущий экономист  __________________В.Э.Морозова</t>
  </si>
  <si>
    <t>Доходы от родительской платы (лагерь)</t>
  </si>
  <si>
    <t>2023 Родительская плата (лагерь)</t>
  </si>
  <si>
    <t>Род плата лагерь</t>
  </si>
  <si>
    <t>МАУ ДО "СШ "Вымпел"</t>
  </si>
  <si>
    <t>МУНИЦИПАЛЬНОЕ АВТОНОМНОЕ УЧРЕЖДЕНИЕ ДОПОЛНИТЕЛЬНОГО ОБРАЗОВАНИЯ "СПОРТИВНАЯ ШКОЛА "ВЫМПЕЛ"</t>
  </si>
  <si>
    <t>Исполняющий обязанности директора  МАУ ДО"СШ "Вымпел"</t>
  </si>
  <si>
    <t>от 24  июля   2023 года</t>
  </si>
  <si>
    <t>И.о.начальника управления физической культуры и спорта</t>
  </si>
  <si>
    <t>Е.В.Литвина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</si>
</sst>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* #,##0.00;* \-#,##0.00;* &quot;-&quot;??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Arial Cyr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1" fillId="0" borderId="0"/>
    <xf numFmtId="165" fontId="33" fillId="0" borderId="0" applyFont="0" applyFill="0" applyBorder="0" applyAlignment="0" applyProtection="0"/>
  </cellStyleXfs>
  <cellXfs count="38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4" fontId="15" fillId="5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left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11" fillId="6" borderId="3" xfId="0" applyFont="1" applyFill="1" applyBorder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left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4" fontId="10" fillId="8" borderId="0" xfId="0" applyNumberFormat="1" applyFont="1" applyFill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4" fontId="15" fillId="8" borderId="3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/>
    </xf>
    <xf numFmtId="4" fontId="10" fillId="9" borderId="0" xfId="0" applyNumberFormat="1" applyFont="1" applyFill="1" applyAlignment="1">
      <alignment horizontal="center" vertical="center"/>
    </xf>
    <xf numFmtId="4" fontId="10" fillId="9" borderId="3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4" fontId="15" fillId="9" borderId="3" xfId="0" applyNumberFormat="1" applyFont="1" applyFill="1" applyBorder="1" applyAlignment="1">
      <alignment horizontal="center" vertical="center" wrapText="1"/>
    </xf>
    <xf numFmtId="4" fontId="5" fillId="9" borderId="3" xfId="0" applyNumberFormat="1" applyFont="1" applyFill="1" applyBorder="1" applyAlignment="1">
      <alignment horizontal="center" vertical="center" wrapText="1"/>
    </xf>
    <xf numFmtId="4" fontId="10" fillId="9" borderId="3" xfId="0" applyNumberFormat="1" applyFont="1" applyFill="1" applyBorder="1" applyAlignment="1">
      <alignment horizontal="center" vertical="center"/>
    </xf>
    <xf numFmtId="4" fontId="10" fillId="10" borderId="0" xfId="0" applyNumberFormat="1" applyFont="1" applyFill="1" applyAlignment="1">
      <alignment horizontal="center" vertical="center"/>
    </xf>
    <xf numFmtId="4" fontId="10" fillId="10" borderId="3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4" fontId="15" fillId="10" borderId="3" xfId="0" applyNumberFormat="1" applyFont="1" applyFill="1" applyBorder="1" applyAlignment="1">
      <alignment horizontal="center" vertical="center" wrapText="1"/>
    </xf>
    <xf numFmtId="4" fontId="5" fillId="10" borderId="3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/>
    </xf>
    <xf numFmtId="0" fontId="0" fillId="0" borderId="3" xfId="0" applyBorder="1"/>
    <xf numFmtId="4" fontId="0" fillId="0" borderId="3" xfId="0" applyNumberFormat="1" applyBorder="1"/>
    <xf numFmtId="4" fontId="26" fillId="0" borderId="3" xfId="0" applyNumberFormat="1" applyFont="1" applyBorder="1"/>
    <xf numFmtId="0" fontId="3" fillId="0" borderId="0" xfId="0" applyFont="1"/>
    <xf numFmtId="0" fontId="7" fillId="0" borderId="0" xfId="0" applyFont="1" applyAlignment="1">
      <alignment horizontal="center" vertical="top"/>
    </xf>
    <xf numFmtId="4" fontId="3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15" borderId="0" xfId="0" applyFont="1" applyFill="1"/>
    <xf numFmtId="4" fontId="3" fillId="15" borderId="3" xfId="0" applyNumberFormat="1" applyFont="1" applyFill="1" applyBorder="1" applyAlignment="1">
      <alignment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left" vertical="center" wrapText="1"/>
    </xf>
    <xf numFmtId="0" fontId="7" fillId="15" borderId="3" xfId="0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4" fontId="0" fillId="17" borderId="3" xfId="0" applyNumberFormat="1" applyFill="1" applyBorder="1"/>
    <xf numFmtId="0" fontId="0" fillId="17" borderId="3" xfId="0" applyFill="1" applyBorder="1"/>
    <xf numFmtId="4" fontId="26" fillId="17" borderId="3" xfId="0" applyNumberFormat="1" applyFont="1" applyFill="1" applyBorder="1"/>
    <xf numFmtId="0" fontId="0" fillId="17" borderId="0" xfId="0" applyFill="1"/>
    <xf numFmtId="0" fontId="0" fillId="0" borderId="0" xfId="0" applyFill="1"/>
    <xf numFmtId="4" fontId="0" fillId="0" borderId="3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30" fillId="17" borderId="3" xfId="0" applyFont="1" applyFill="1" applyBorder="1"/>
    <xf numFmtId="4" fontId="31" fillId="17" borderId="3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30" fillId="17" borderId="3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49" fontId="12" fillId="11" borderId="3" xfId="0" applyNumberFormat="1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4" fontId="2" fillId="11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left" vertical="center" wrapText="1"/>
    </xf>
    <xf numFmtId="49" fontId="2" fillId="12" borderId="3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4" fontId="2" fillId="12" borderId="3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left" vertical="center" wrapText="1"/>
    </xf>
    <xf numFmtId="49" fontId="2" fillId="14" borderId="3" xfId="0" applyNumberFormat="1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/>
    </xf>
    <xf numFmtId="4" fontId="2" fillId="14" borderId="3" xfId="0" applyNumberFormat="1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left" vertical="center" wrapText="1"/>
    </xf>
    <xf numFmtId="49" fontId="9" fillId="14" borderId="3" xfId="0" applyNumberFormat="1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left" vertical="center" wrapText="1"/>
    </xf>
    <xf numFmtId="49" fontId="2" fillId="13" borderId="3" xfId="0" applyNumberFormat="1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/>
    </xf>
    <xf numFmtId="4" fontId="2" fillId="13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9" fillId="0" borderId="4" xfId="0" applyFont="1" applyBorder="1" applyAlignment="1"/>
    <xf numFmtId="0" fontId="30" fillId="0" borderId="4" xfId="0" applyFont="1" applyBorder="1" applyAlignment="1">
      <alignment vertical="top"/>
    </xf>
    <xf numFmtId="0" fontId="3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15" borderId="3" xfId="0" applyNumberFormat="1" applyFont="1" applyFill="1" applyBorder="1" applyAlignment="1">
      <alignment horizontal="center" vertical="center" wrapText="1"/>
    </xf>
    <xf numFmtId="164" fontId="3" fillId="15" borderId="3" xfId="1" applyFont="1" applyFill="1" applyBorder="1" applyAlignment="1">
      <alignment horizontal="center" vertical="center" wrapText="1"/>
    </xf>
    <xf numFmtId="4" fontId="20" fillId="15" borderId="3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left" vertical="center" wrapText="1"/>
    </xf>
    <xf numFmtId="49" fontId="2" fillId="20" borderId="3" xfId="0" applyNumberFormat="1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4" fontId="2" fillId="20" borderId="3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3" fillId="14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15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9" fillId="19" borderId="3" xfId="0" applyFont="1" applyFill="1" applyBorder="1" applyAlignment="1">
      <alignment horizontal="left" vertical="center" wrapText="1"/>
    </xf>
    <xf numFmtId="49" fontId="10" fillId="19" borderId="3" xfId="0" applyNumberFormat="1" applyFont="1" applyFill="1" applyBorder="1" applyAlignment="1">
      <alignment horizontal="center" vertical="center" wrapText="1"/>
    </xf>
    <xf numFmtId="0" fontId="14" fillId="19" borderId="3" xfId="0" applyFont="1" applyFill="1" applyBorder="1" applyAlignment="1">
      <alignment horizontal="center" vertical="center" wrapText="1"/>
    </xf>
    <xf numFmtId="4" fontId="10" fillId="19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left" vertical="center" wrapText="1"/>
    </xf>
    <xf numFmtId="49" fontId="10" fillId="17" borderId="3" xfId="0" applyNumberFormat="1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4" fontId="5" fillId="17" borderId="3" xfId="0" applyNumberFormat="1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left" vertical="center" wrapText="1"/>
    </xf>
    <xf numFmtId="4" fontId="10" fillId="17" borderId="3" xfId="0" applyNumberFormat="1" applyFont="1" applyFill="1" applyBorder="1" applyAlignment="1">
      <alignment horizontal="center" vertical="center" wrapText="1"/>
    </xf>
    <xf numFmtId="4" fontId="10" fillId="17" borderId="3" xfId="0" applyNumberFormat="1" applyFont="1" applyFill="1" applyBorder="1" applyAlignment="1">
      <alignment horizontal="center" vertical="center"/>
    </xf>
    <xf numFmtId="4" fontId="10" fillId="21" borderId="3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left" vertical="center"/>
    </xf>
    <xf numFmtId="49" fontId="19" fillId="0" borderId="20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3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30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left" vertical="center" wrapText="1"/>
    </xf>
    <xf numFmtId="14" fontId="11" fillId="0" borderId="1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16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0" fillId="17" borderId="10" xfId="0" applyFont="1" applyFill="1" applyBorder="1" applyAlignment="1">
      <alignment horizontal="center" vertical="center"/>
    </xf>
    <xf numFmtId="0" fontId="30" fillId="17" borderId="14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18" borderId="3" xfId="0" applyFill="1" applyBorder="1" applyAlignment="1">
      <alignment horizontal="center"/>
    </xf>
  </cellXfs>
  <cellStyles count="6">
    <cellStyle name="Гиперссылка" xfId="2" builtinId="8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5A5D99AB28FABFA4A29B38CDE5F8550A2DA74BE9F1FDE8B452D6B02352wEo4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activeCell="E25" sqref="E25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7.42578125" style="1" customWidth="1"/>
    <col min="4" max="4" width="8.42578125" style="6" customWidth="1"/>
    <col min="5" max="5" width="29.5703125" style="1" customWidth="1"/>
    <col min="6" max="6" width="14.28515625" style="1" customWidth="1"/>
    <col min="7" max="7" width="13" style="1" customWidth="1"/>
    <col min="8" max="8" width="12.85546875" style="1" customWidth="1"/>
    <col min="9" max="9" width="5.42578125" style="1" hidden="1" customWidth="1"/>
    <col min="10" max="10" width="13.140625" style="1" bestFit="1" customWidth="1"/>
    <col min="11" max="11" width="9.42578125" style="1" bestFit="1" customWidth="1"/>
    <col min="12" max="12" width="11.42578125" style="1" bestFit="1" customWidth="1"/>
    <col min="13" max="19" width="9.140625" style="1"/>
    <col min="20" max="20" width="13" style="1" customWidth="1"/>
    <col min="21" max="21" width="10.42578125" style="1" bestFit="1" customWidth="1"/>
    <col min="22" max="22" width="11.28515625" style="1" customWidth="1"/>
    <col min="23" max="23" width="9.140625" style="1"/>
    <col min="24" max="24" width="14.85546875" style="1" customWidth="1"/>
    <col min="25" max="256" width="9.140625" style="1"/>
    <col min="257" max="257" width="8.7109375" style="1" customWidth="1"/>
    <col min="258" max="258" width="13.140625" style="1" customWidth="1"/>
    <col min="259" max="259" width="3.42578125" style="1" customWidth="1"/>
    <col min="260" max="260" width="8.42578125" style="1" customWidth="1"/>
    <col min="261" max="261" width="15.28515625" style="1" customWidth="1"/>
    <col min="262" max="262" width="14.28515625" style="1" customWidth="1"/>
    <col min="263" max="263" width="13" style="1" customWidth="1"/>
    <col min="264" max="264" width="22.5703125" style="1" customWidth="1"/>
    <col min="265" max="265" width="0" style="1" hidden="1" customWidth="1"/>
    <col min="266" max="266" width="13.140625" style="1" bestFit="1" customWidth="1"/>
    <col min="267" max="267" width="9.42578125" style="1" bestFit="1" customWidth="1"/>
    <col min="268" max="268" width="11.42578125" style="1" bestFit="1" customWidth="1"/>
    <col min="269" max="275" width="9.140625" style="1"/>
    <col min="276" max="276" width="13" style="1" customWidth="1"/>
    <col min="277" max="277" width="10.42578125" style="1" bestFit="1" customWidth="1"/>
    <col min="278" max="278" width="11.28515625" style="1" customWidth="1"/>
    <col min="279" max="279" width="9.140625" style="1"/>
    <col min="280" max="280" width="14.85546875" style="1" customWidth="1"/>
    <col min="281" max="512" width="9.140625" style="1"/>
    <col min="513" max="513" width="8.7109375" style="1" customWidth="1"/>
    <col min="514" max="514" width="13.140625" style="1" customWidth="1"/>
    <col min="515" max="515" width="3.42578125" style="1" customWidth="1"/>
    <col min="516" max="516" width="8.42578125" style="1" customWidth="1"/>
    <col min="517" max="517" width="15.28515625" style="1" customWidth="1"/>
    <col min="518" max="518" width="14.28515625" style="1" customWidth="1"/>
    <col min="519" max="519" width="13" style="1" customWidth="1"/>
    <col min="520" max="520" width="22.5703125" style="1" customWidth="1"/>
    <col min="521" max="521" width="0" style="1" hidden="1" customWidth="1"/>
    <col min="522" max="522" width="13.140625" style="1" bestFit="1" customWidth="1"/>
    <col min="523" max="523" width="9.42578125" style="1" bestFit="1" customWidth="1"/>
    <col min="524" max="524" width="11.42578125" style="1" bestFit="1" customWidth="1"/>
    <col min="525" max="531" width="9.140625" style="1"/>
    <col min="532" max="532" width="13" style="1" customWidth="1"/>
    <col min="533" max="533" width="10.42578125" style="1" bestFit="1" customWidth="1"/>
    <col min="534" max="534" width="11.28515625" style="1" customWidth="1"/>
    <col min="535" max="535" width="9.140625" style="1"/>
    <col min="536" max="536" width="14.85546875" style="1" customWidth="1"/>
    <col min="537" max="768" width="9.140625" style="1"/>
    <col min="769" max="769" width="8.7109375" style="1" customWidth="1"/>
    <col min="770" max="770" width="13.140625" style="1" customWidth="1"/>
    <col min="771" max="771" width="3.42578125" style="1" customWidth="1"/>
    <col min="772" max="772" width="8.42578125" style="1" customWidth="1"/>
    <col min="773" max="773" width="15.28515625" style="1" customWidth="1"/>
    <col min="774" max="774" width="14.28515625" style="1" customWidth="1"/>
    <col min="775" max="775" width="13" style="1" customWidth="1"/>
    <col min="776" max="776" width="22.5703125" style="1" customWidth="1"/>
    <col min="777" max="777" width="0" style="1" hidden="1" customWidth="1"/>
    <col min="778" max="778" width="13.140625" style="1" bestFit="1" customWidth="1"/>
    <col min="779" max="779" width="9.42578125" style="1" bestFit="1" customWidth="1"/>
    <col min="780" max="780" width="11.42578125" style="1" bestFit="1" customWidth="1"/>
    <col min="781" max="787" width="9.140625" style="1"/>
    <col min="788" max="788" width="13" style="1" customWidth="1"/>
    <col min="789" max="789" width="10.42578125" style="1" bestFit="1" customWidth="1"/>
    <col min="790" max="790" width="11.28515625" style="1" customWidth="1"/>
    <col min="791" max="791" width="9.140625" style="1"/>
    <col min="792" max="792" width="14.85546875" style="1" customWidth="1"/>
    <col min="793" max="1024" width="9.140625" style="1"/>
    <col min="1025" max="1025" width="8.7109375" style="1" customWidth="1"/>
    <col min="1026" max="1026" width="13.140625" style="1" customWidth="1"/>
    <col min="1027" max="1027" width="3.42578125" style="1" customWidth="1"/>
    <col min="1028" max="1028" width="8.42578125" style="1" customWidth="1"/>
    <col min="1029" max="1029" width="15.28515625" style="1" customWidth="1"/>
    <col min="1030" max="1030" width="14.28515625" style="1" customWidth="1"/>
    <col min="1031" max="1031" width="13" style="1" customWidth="1"/>
    <col min="1032" max="1032" width="22.5703125" style="1" customWidth="1"/>
    <col min="1033" max="1033" width="0" style="1" hidden="1" customWidth="1"/>
    <col min="1034" max="1034" width="13.140625" style="1" bestFit="1" customWidth="1"/>
    <col min="1035" max="1035" width="9.42578125" style="1" bestFit="1" customWidth="1"/>
    <col min="1036" max="1036" width="11.42578125" style="1" bestFit="1" customWidth="1"/>
    <col min="1037" max="1043" width="9.140625" style="1"/>
    <col min="1044" max="1044" width="13" style="1" customWidth="1"/>
    <col min="1045" max="1045" width="10.42578125" style="1" bestFit="1" customWidth="1"/>
    <col min="1046" max="1046" width="11.28515625" style="1" customWidth="1"/>
    <col min="1047" max="1047" width="9.140625" style="1"/>
    <col min="1048" max="1048" width="14.85546875" style="1" customWidth="1"/>
    <col min="1049" max="1280" width="9.140625" style="1"/>
    <col min="1281" max="1281" width="8.7109375" style="1" customWidth="1"/>
    <col min="1282" max="1282" width="13.140625" style="1" customWidth="1"/>
    <col min="1283" max="1283" width="3.42578125" style="1" customWidth="1"/>
    <col min="1284" max="1284" width="8.42578125" style="1" customWidth="1"/>
    <col min="1285" max="1285" width="15.28515625" style="1" customWidth="1"/>
    <col min="1286" max="1286" width="14.28515625" style="1" customWidth="1"/>
    <col min="1287" max="1287" width="13" style="1" customWidth="1"/>
    <col min="1288" max="1288" width="22.5703125" style="1" customWidth="1"/>
    <col min="1289" max="1289" width="0" style="1" hidden="1" customWidth="1"/>
    <col min="1290" max="1290" width="13.140625" style="1" bestFit="1" customWidth="1"/>
    <col min="1291" max="1291" width="9.42578125" style="1" bestFit="1" customWidth="1"/>
    <col min="1292" max="1292" width="11.42578125" style="1" bestFit="1" customWidth="1"/>
    <col min="1293" max="1299" width="9.140625" style="1"/>
    <col min="1300" max="1300" width="13" style="1" customWidth="1"/>
    <col min="1301" max="1301" width="10.42578125" style="1" bestFit="1" customWidth="1"/>
    <col min="1302" max="1302" width="11.28515625" style="1" customWidth="1"/>
    <col min="1303" max="1303" width="9.140625" style="1"/>
    <col min="1304" max="1304" width="14.85546875" style="1" customWidth="1"/>
    <col min="1305" max="1536" width="9.140625" style="1"/>
    <col min="1537" max="1537" width="8.7109375" style="1" customWidth="1"/>
    <col min="1538" max="1538" width="13.140625" style="1" customWidth="1"/>
    <col min="1539" max="1539" width="3.42578125" style="1" customWidth="1"/>
    <col min="1540" max="1540" width="8.42578125" style="1" customWidth="1"/>
    <col min="1541" max="1541" width="15.28515625" style="1" customWidth="1"/>
    <col min="1542" max="1542" width="14.28515625" style="1" customWidth="1"/>
    <col min="1543" max="1543" width="13" style="1" customWidth="1"/>
    <col min="1544" max="1544" width="22.5703125" style="1" customWidth="1"/>
    <col min="1545" max="1545" width="0" style="1" hidden="1" customWidth="1"/>
    <col min="1546" max="1546" width="13.140625" style="1" bestFit="1" customWidth="1"/>
    <col min="1547" max="1547" width="9.42578125" style="1" bestFit="1" customWidth="1"/>
    <col min="1548" max="1548" width="11.42578125" style="1" bestFit="1" customWidth="1"/>
    <col min="1549" max="1555" width="9.140625" style="1"/>
    <col min="1556" max="1556" width="13" style="1" customWidth="1"/>
    <col min="1557" max="1557" width="10.42578125" style="1" bestFit="1" customWidth="1"/>
    <col min="1558" max="1558" width="11.28515625" style="1" customWidth="1"/>
    <col min="1559" max="1559" width="9.140625" style="1"/>
    <col min="1560" max="1560" width="14.85546875" style="1" customWidth="1"/>
    <col min="1561" max="1792" width="9.140625" style="1"/>
    <col min="1793" max="1793" width="8.7109375" style="1" customWidth="1"/>
    <col min="1794" max="1794" width="13.140625" style="1" customWidth="1"/>
    <col min="1795" max="1795" width="3.42578125" style="1" customWidth="1"/>
    <col min="1796" max="1796" width="8.42578125" style="1" customWidth="1"/>
    <col min="1797" max="1797" width="15.28515625" style="1" customWidth="1"/>
    <col min="1798" max="1798" width="14.28515625" style="1" customWidth="1"/>
    <col min="1799" max="1799" width="13" style="1" customWidth="1"/>
    <col min="1800" max="1800" width="22.5703125" style="1" customWidth="1"/>
    <col min="1801" max="1801" width="0" style="1" hidden="1" customWidth="1"/>
    <col min="1802" max="1802" width="13.140625" style="1" bestFit="1" customWidth="1"/>
    <col min="1803" max="1803" width="9.42578125" style="1" bestFit="1" customWidth="1"/>
    <col min="1804" max="1804" width="11.42578125" style="1" bestFit="1" customWidth="1"/>
    <col min="1805" max="1811" width="9.140625" style="1"/>
    <col min="1812" max="1812" width="13" style="1" customWidth="1"/>
    <col min="1813" max="1813" width="10.42578125" style="1" bestFit="1" customWidth="1"/>
    <col min="1814" max="1814" width="11.28515625" style="1" customWidth="1"/>
    <col min="1815" max="1815" width="9.140625" style="1"/>
    <col min="1816" max="1816" width="14.85546875" style="1" customWidth="1"/>
    <col min="1817" max="2048" width="9.140625" style="1"/>
    <col min="2049" max="2049" width="8.7109375" style="1" customWidth="1"/>
    <col min="2050" max="2050" width="13.140625" style="1" customWidth="1"/>
    <col min="2051" max="2051" width="3.42578125" style="1" customWidth="1"/>
    <col min="2052" max="2052" width="8.42578125" style="1" customWidth="1"/>
    <col min="2053" max="2053" width="15.28515625" style="1" customWidth="1"/>
    <col min="2054" max="2054" width="14.28515625" style="1" customWidth="1"/>
    <col min="2055" max="2055" width="13" style="1" customWidth="1"/>
    <col min="2056" max="2056" width="22.5703125" style="1" customWidth="1"/>
    <col min="2057" max="2057" width="0" style="1" hidden="1" customWidth="1"/>
    <col min="2058" max="2058" width="13.140625" style="1" bestFit="1" customWidth="1"/>
    <col min="2059" max="2059" width="9.42578125" style="1" bestFit="1" customWidth="1"/>
    <col min="2060" max="2060" width="11.42578125" style="1" bestFit="1" customWidth="1"/>
    <col min="2061" max="2067" width="9.140625" style="1"/>
    <col min="2068" max="2068" width="13" style="1" customWidth="1"/>
    <col min="2069" max="2069" width="10.42578125" style="1" bestFit="1" customWidth="1"/>
    <col min="2070" max="2070" width="11.28515625" style="1" customWidth="1"/>
    <col min="2071" max="2071" width="9.140625" style="1"/>
    <col min="2072" max="2072" width="14.85546875" style="1" customWidth="1"/>
    <col min="2073" max="2304" width="9.140625" style="1"/>
    <col min="2305" max="2305" width="8.7109375" style="1" customWidth="1"/>
    <col min="2306" max="2306" width="13.140625" style="1" customWidth="1"/>
    <col min="2307" max="2307" width="3.42578125" style="1" customWidth="1"/>
    <col min="2308" max="2308" width="8.42578125" style="1" customWidth="1"/>
    <col min="2309" max="2309" width="15.28515625" style="1" customWidth="1"/>
    <col min="2310" max="2310" width="14.28515625" style="1" customWidth="1"/>
    <col min="2311" max="2311" width="13" style="1" customWidth="1"/>
    <col min="2312" max="2312" width="22.5703125" style="1" customWidth="1"/>
    <col min="2313" max="2313" width="0" style="1" hidden="1" customWidth="1"/>
    <col min="2314" max="2314" width="13.140625" style="1" bestFit="1" customWidth="1"/>
    <col min="2315" max="2315" width="9.42578125" style="1" bestFit="1" customWidth="1"/>
    <col min="2316" max="2316" width="11.42578125" style="1" bestFit="1" customWidth="1"/>
    <col min="2317" max="2323" width="9.140625" style="1"/>
    <col min="2324" max="2324" width="13" style="1" customWidth="1"/>
    <col min="2325" max="2325" width="10.42578125" style="1" bestFit="1" customWidth="1"/>
    <col min="2326" max="2326" width="11.28515625" style="1" customWidth="1"/>
    <col min="2327" max="2327" width="9.140625" style="1"/>
    <col min="2328" max="2328" width="14.85546875" style="1" customWidth="1"/>
    <col min="2329" max="2560" width="9.140625" style="1"/>
    <col min="2561" max="2561" width="8.7109375" style="1" customWidth="1"/>
    <col min="2562" max="2562" width="13.140625" style="1" customWidth="1"/>
    <col min="2563" max="2563" width="3.42578125" style="1" customWidth="1"/>
    <col min="2564" max="2564" width="8.42578125" style="1" customWidth="1"/>
    <col min="2565" max="2565" width="15.28515625" style="1" customWidth="1"/>
    <col min="2566" max="2566" width="14.28515625" style="1" customWidth="1"/>
    <col min="2567" max="2567" width="13" style="1" customWidth="1"/>
    <col min="2568" max="2568" width="22.5703125" style="1" customWidth="1"/>
    <col min="2569" max="2569" width="0" style="1" hidden="1" customWidth="1"/>
    <col min="2570" max="2570" width="13.140625" style="1" bestFit="1" customWidth="1"/>
    <col min="2571" max="2571" width="9.42578125" style="1" bestFit="1" customWidth="1"/>
    <col min="2572" max="2572" width="11.42578125" style="1" bestFit="1" customWidth="1"/>
    <col min="2573" max="2579" width="9.140625" style="1"/>
    <col min="2580" max="2580" width="13" style="1" customWidth="1"/>
    <col min="2581" max="2581" width="10.42578125" style="1" bestFit="1" customWidth="1"/>
    <col min="2582" max="2582" width="11.28515625" style="1" customWidth="1"/>
    <col min="2583" max="2583" width="9.140625" style="1"/>
    <col min="2584" max="2584" width="14.85546875" style="1" customWidth="1"/>
    <col min="2585" max="2816" width="9.140625" style="1"/>
    <col min="2817" max="2817" width="8.7109375" style="1" customWidth="1"/>
    <col min="2818" max="2818" width="13.140625" style="1" customWidth="1"/>
    <col min="2819" max="2819" width="3.42578125" style="1" customWidth="1"/>
    <col min="2820" max="2820" width="8.42578125" style="1" customWidth="1"/>
    <col min="2821" max="2821" width="15.28515625" style="1" customWidth="1"/>
    <col min="2822" max="2822" width="14.28515625" style="1" customWidth="1"/>
    <col min="2823" max="2823" width="13" style="1" customWidth="1"/>
    <col min="2824" max="2824" width="22.5703125" style="1" customWidth="1"/>
    <col min="2825" max="2825" width="0" style="1" hidden="1" customWidth="1"/>
    <col min="2826" max="2826" width="13.140625" style="1" bestFit="1" customWidth="1"/>
    <col min="2827" max="2827" width="9.42578125" style="1" bestFit="1" customWidth="1"/>
    <col min="2828" max="2828" width="11.42578125" style="1" bestFit="1" customWidth="1"/>
    <col min="2829" max="2835" width="9.140625" style="1"/>
    <col min="2836" max="2836" width="13" style="1" customWidth="1"/>
    <col min="2837" max="2837" width="10.42578125" style="1" bestFit="1" customWidth="1"/>
    <col min="2838" max="2838" width="11.28515625" style="1" customWidth="1"/>
    <col min="2839" max="2839" width="9.140625" style="1"/>
    <col min="2840" max="2840" width="14.85546875" style="1" customWidth="1"/>
    <col min="2841" max="3072" width="9.140625" style="1"/>
    <col min="3073" max="3073" width="8.7109375" style="1" customWidth="1"/>
    <col min="3074" max="3074" width="13.140625" style="1" customWidth="1"/>
    <col min="3075" max="3075" width="3.42578125" style="1" customWidth="1"/>
    <col min="3076" max="3076" width="8.42578125" style="1" customWidth="1"/>
    <col min="3077" max="3077" width="15.28515625" style="1" customWidth="1"/>
    <col min="3078" max="3078" width="14.28515625" style="1" customWidth="1"/>
    <col min="3079" max="3079" width="13" style="1" customWidth="1"/>
    <col min="3080" max="3080" width="22.5703125" style="1" customWidth="1"/>
    <col min="3081" max="3081" width="0" style="1" hidden="1" customWidth="1"/>
    <col min="3082" max="3082" width="13.140625" style="1" bestFit="1" customWidth="1"/>
    <col min="3083" max="3083" width="9.42578125" style="1" bestFit="1" customWidth="1"/>
    <col min="3084" max="3084" width="11.42578125" style="1" bestFit="1" customWidth="1"/>
    <col min="3085" max="3091" width="9.140625" style="1"/>
    <col min="3092" max="3092" width="13" style="1" customWidth="1"/>
    <col min="3093" max="3093" width="10.42578125" style="1" bestFit="1" customWidth="1"/>
    <col min="3094" max="3094" width="11.28515625" style="1" customWidth="1"/>
    <col min="3095" max="3095" width="9.140625" style="1"/>
    <col min="3096" max="3096" width="14.85546875" style="1" customWidth="1"/>
    <col min="3097" max="3328" width="9.140625" style="1"/>
    <col min="3329" max="3329" width="8.7109375" style="1" customWidth="1"/>
    <col min="3330" max="3330" width="13.140625" style="1" customWidth="1"/>
    <col min="3331" max="3331" width="3.42578125" style="1" customWidth="1"/>
    <col min="3332" max="3332" width="8.42578125" style="1" customWidth="1"/>
    <col min="3333" max="3333" width="15.28515625" style="1" customWidth="1"/>
    <col min="3334" max="3334" width="14.28515625" style="1" customWidth="1"/>
    <col min="3335" max="3335" width="13" style="1" customWidth="1"/>
    <col min="3336" max="3336" width="22.5703125" style="1" customWidth="1"/>
    <col min="3337" max="3337" width="0" style="1" hidden="1" customWidth="1"/>
    <col min="3338" max="3338" width="13.140625" style="1" bestFit="1" customWidth="1"/>
    <col min="3339" max="3339" width="9.42578125" style="1" bestFit="1" customWidth="1"/>
    <col min="3340" max="3340" width="11.42578125" style="1" bestFit="1" customWidth="1"/>
    <col min="3341" max="3347" width="9.140625" style="1"/>
    <col min="3348" max="3348" width="13" style="1" customWidth="1"/>
    <col min="3349" max="3349" width="10.42578125" style="1" bestFit="1" customWidth="1"/>
    <col min="3350" max="3350" width="11.28515625" style="1" customWidth="1"/>
    <col min="3351" max="3351" width="9.140625" style="1"/>
    <col min="3352" max="3352" width="14.85546875" style="1" customWidth="1"/>
    <col min="3353" max="3584" width="9.140625" style="1"/>
    <col min="3585" max="3585" width="8.7109375" style="1" customWidth="1"/>
    <col min="3586" max="3586" width="13.140625" style="1" customWidth="1"/>
    <col min="3587" max="3587" width="3.42578125" style="1" customWidth="1"/>
    <col min="3588" max="3588" width="8.42578125" style="1" customWidth="1"/>
    <col min="3589" max="3589" width="15.28515625" style="1" customWidth="1"/>
    <col min="3590" max="3590" width="14.28515625" style="1" customWidth="1"/>
    <col min="3591" max="3591" width="13" style="1" customWidth="1"/>
    <col min="3592" max="3592" width="22.5703125" style="1" customWidth="1"/>
    <col min="3593" max="3593" width="0" style="1" hidden="1" customWidth="1"/>
    <col min="3594" max="3594" width="13.140625" style="1" bestFit="1" customWidth="1"/>
    <col min="3595" max="3595" width="9.42578125" style="1" bestFit="1" customWidth="1"/>
    <col min="3596" max="3596" width="11.42578125" style="1" bestFit="1" customWidth="1"/>
    <col min="3597" max="3603" width="9.140625" style="1"/>
    <col min="3604" max="3604" width="13" style="1" customWidth="1"/>
    <col min="3605" max="3605" width="10.42578125" style="1" bestFit="1" customWidth="1"/>
    <col min="3606" max="3606" width="11.28515625" style="1" customWidth="1"/>
    <col min="3607" max="3607" width="9.140625" style="1"/>
    <col min="3608" max="3608" width="14.85546875" style="1" customWidth="1"/>
    <col min="3609" max="3840" width="9.140625" style="1"/>
    <col min="3841" max="3841" width="8.7109375" style="1" customWidth="1"/>
    <col min="3842" max="3842" width="13.140625" style="1" customWidth="1"/>
    <col min="3843" max="3843" width="3.42578125" style="1" customWidth="1"/>
    <col min="3844" max="3844" width="8.42578125" style="1" customWidth="1"/>
    <col min="3845" max="3845" width="15.28515625" style="1" customWidth="1"/>
    <col min="3846" max="3846" width="14.28515625" style="1" customWidth="1"/>
    <col min="3847" max="3847" width="13" style="1" customWidth="1"/>
    <col min="3848" max="3848" width="22.5703125" style="1" customWidth="1"/>
    <col min="3849" max="3849" width="0" style="1" hidden="1" customWidth="1"/>
    <col min="3850" max="3850" width="13.140625" style="1" bestFit="1" customWidth="1"/>
    <col min="3851" max="3851" width="9.42578125" style="1" bestFit="1" customWidth="1"/>
    <col min="3852" max="3852" width="11.42578125" style="1" bestFit="1" customWidth="1"/>
    <col min="3853" max="3859" width="9.140625" style="1"/>
    <col min="3860" max="3860" width="13" style="1" customWidth="1"/>
    <col min="3861" max="3861" width="10.42578125" style="1" bestFit="1" customWidth="1"/>
    <col min="3862" max="3862" width="11.28515625" style="1" customWidth="1"/>
    <col min="3863" max="3863" width="9.140625" style="1"/>
    <col min="3864" max="3864" width="14.85546875" style="1" customWidth="1"/>
    <col min="3865" max="4096" width="9.140625" style="1"/>
    <col min="4097" max="4097" width="8.7109375" style="1" customWidth="1"/>
    <col min="4098" max="4098" width="13.140625" style="1" customWidth="1"/>
    <col min="4099" max="4099" width="3.42578125" style="1" customWidth="1"/>
    <col min="4100" max="4100" width="8.42578125" style="1" customWidth="1"/>
    <col min="4101" max="4101" width="15.28515625" style="1" customWidth="1"/>
    <col min="4102" max="4102" width="14.28515625" style="1" customWidth="1"/>
    <col min="4103" max="4103" width="13" style="1" customWidth="1"/>
    <col min="4104" max="4104" width="22.5703125" style="1" customWidth="1"/>
    <col min="4105" max="4105" width="0" style="1" hidden="1" customWidth="1"/>
    <col min="4106" max="4106" width="13.140625" style="1" bestFit="1" customWidth="1"/>
    <col min="4107" max="4107" width="9.42578125" style="1" bestFit="1" customWidth="1"/>
    <col min="4108" max="4108" width="11.42578125" style="1" bestFit="1" customWidth="1"/>
    <col min="4109" max="4115" width="9.140625" style="1"/>
    <col min="4116" max="4116" width="13" style="1" customWidth="1"/>
    <col min="4117" max="4117" width="10.42578125" style="1" bestFit="1" customWidth="1"/>
    <col min="4118" max="4118" width="11.28515625" style="1" customWidth="1"/>
    <col min="4119" max="4119" width="9.140625" style="1"/>
    <col min="4120" max="4120" width="14.85546875" style="1" customWidth="1"/>
    <col min="4121" max="4352" width="9.140625" style="1"/>
    <col min="4353" max="4353" width="8.7109375" style="1" customWidth="1"/>
    <col min="4354" max="4354" width="13.140625" style="1" customWidth="1"/>
    <col min="4355" max="4355" width="3.42578125" style="1" customWidth="1"/>
    <col min="4356" max="4356" width="8.42578125" style="1" customWidth="1"/>
    <col min="4357" max="4357" width="15.28515625" style="1" customWidth="1"/>
    <col min="4358" max="4358" width="14.28515625" style="1" customWidth="1"/>
    <col min="4359" max="4359" width="13" style="1" customWidth="1"/>
    <col min="4360" max="4360" width="22.5703125" style="1" customWidth="1"/>
    <col min="4361" max="4361" width="0" style="1" hidden="1" customWidth="1"/>
    <col min="4362" max="4362" width="13.140625" style="1" bestFit="1" customWidth="1"/>
    <col min="4363" max="4363" width="9.42578125" style="1" bestFit="1" customWidth="1"/>
    <col min="4364" max="4364" width="11.42578125" style="1" bestFit="1" customWidth="1"/>
    <col min="4365" max="4371" width="9.140625" style="1"/>
    <col min="4372" max="4372" width="13" style="1" customWidth="1"/>
    <col min="4373" max="4373" width="10.42578125" style="1" bestFit="1" customWidth="1"/>
    <col min="4374" max="4374" width="11.28515625" style="1" customWidth="1"/>
    <col min="4375" max="4375" width="9.140625" style="1"/>
    <col min="4376" max="4376" width="14.85546875" style="1" customWidth="1"/>
    <col min="4377" max="4608" width="9.140625" style="1"/>
    <col min="4609" max="4609" width="8.7109375" style="1" customWidth="1"/>
    <col min="4610" max="4610" width="13.140625" style="1" customWidth="1"/>
    <col min="4611" max="4611" width="3.42578125" style="1" customWidth="1"/>
    <col min="4612" max="4612" width="8.42578125" style="1" customWidth="1"/>
    <col min="4613" max="4613" width="15.28515625" style="1" customWidth="1"/>
    <col min="4614" max="4614" width="14.28515625" style="1" customWidth="1"/>
    <col min="4615" max="4615" width="13" style="1" customWidth="1"/>
    <col min="4616" max="4616" width="22.5703125" style="1" customWidth="1"/>
    <col min="4617" max="4617" width="0" style="1" hidden="1" customWidth="1"/>
    <col min="4618" max="4618" width="13.140625" style="1" bestFit="1" customWidth="1"/>
    <col min="4619" max="4619" width="9.42578125" style="1" bestFit="1" customWidth="1"/>
    <col min="4620" max="4620" width="11.42578125" style="1" bestFit="1" customWidth="1"/>
    <col min="4621" max="4627" width="9.140625" style="1"/>
    <col min="4628" max="4628" width="13" style="1" customWidth="1"/>
    <col min="4629" max="4629" width="10.42578125" style="1" bestFit="1" customWidth="1"/>
    <col min="4630" max="4630" width="11.28515625" style="1" customWidth="1"/>
    <col min="4631" max="4631" width="9.140625" style="1"/>
    <col min="4632" max="4632" width="14.85546875" style="1" customWidth="1"/>
    <col min="4633" max="4864" width="9.140625" style="1"/>
    <col min="4865" max="4865" width="8.7109375" style="1" customWidth="1"/>
    <col min="4866" max="4866" width="13.140625" style="1" customWidth="1"/>
    <col min="4867" max="4867" width="3.42578125" style="1" customWidth="1"/>
    <col min="4868" max="4868" width="8.42578125" style="1" customWidth="1"/>
    <col min="4869" max="4869" width="15.28515625" style="1" customWidth="1"/>
    <col min="4870" max="4870" width="14.28515625" style="1" customWidth="1"/>
    <col min="4871" max="4871" width="13" style="1" customWidth="1"/>
    <col min="4872" max="4872" width="22.5703125" style="1" customWidth="1"/>
    <col min="4873" max="4873" width="0" style="1" hidden="1" customWidth="1"/>
    <col min="4874" max="4874" width="13.140625" style="1" bestFit="1" customWidth="1"/>
    <col min="4875" max="4875" width="9.42578125" style="1" bestFit="1" customWidth="1"/>
    <col min="4876" max="4876" width="11.42578125" style="1" bestFit="1" customWidth="1"/>
    <col min="4877" max="4883" width="9.140625" style="1"/>
    <col min="4884" max="4884" width="13" style="1" customWidth="1"/>
    <col min="4885" max="4885" width="10.42578125" style="1" bestFit="1" customWidth="1"/>
    <col min="4886" max="4886" width="11.28515625" style="1" customWidth="1"/>
    <col min="4887" max="4887" width="9.140625" style="1"/>
    <col min="4888" max="4888" width="14.85546875" style="1" customWidth="1"/>
    <col min="4889" max="5120" width="9.140625" style="1"/>
    <col min="5121" max="5121" width="8.7109375" style="1" customWidth="1"/>
    <col min="5122" max="5122" width="13.140625" style="1" customWidth="1"/>
    <col min="5123" max="5123" width="3.42578125" style="1" customWidth="1"/>
    <col min="5124" max="5124" width="8.42578125" style="1" customWidth="1"/>
    <col min="5125" max="5125" width="15.28515625" style="1" customWidth="1"/>
    <col min="5126" max="5126" width="14.28515625" style="1" customWidth="1"/>
    <col min="5127" max="5127" width="13" style="1" customWidth="1"/>
    <col min="5128" max="5128" width="22.5703125" style="1" customWidth="1"/>
    <col min="5129" max="5129" width="0" style="1" hidden="1" customWidth="1"/>
    <col min="5130" max="5130" width="13.140625" style="1" bestFit="1" customWidth="1"/>
    <col min="5131" max="5131" width="9.42578125" style="1" bestFit="1" customWidth="1"/>
    <col min="5132" max="5132" width="11.42578125" style="1" bestFit="1" customWidth="1"/>
    <col min="5133" max="5139" width="9.140625" style="1"/>
    <col min="5140" max="5140" width="13" style="1" customWidth="1"/>
    <col min="5141" max="5141" width="10.42578125" style="1" bestFit="1" customWidth="1"/>
    <col min="5142" max="5142" width="11.28515625" style="1" customWidth="1"/>
    <col min="5143" max="5143" width="9.140625" style="1"/>
    <col min="5144" max="5144" width="14.85546875" style="1" customWidth="1"/>
    <col min="5145" max="5376" width="9.140625" style="1"/>
    <col min="5377" max="5377" width="8.7109375" style="1" customWidth="1"/>
    <col min="5378" max="5378" width="13.140625" style="1" customWidth="1"/>
    <col min="5379" max="5379" width="3.42578125" style="1" customWidth="1"/>
    <col min="5380" max="5380" width="8.42578125" style="1" customWidth="1"/>
    <col min="5381" max="5381" width="15.28515625" style="1" customWidth="1"/>
    <col min="5382" max="5382" width="14.28515625" style="1" customWidth="1"/>
    <col min="5383" max="5383" width="13" style="1" customWidth="1"/>
    <col min="5384" max="5384" width="22.5703125" style="1" customWidth="1"/>
    <col min="5385" max="5385" width="0" style="1" hidden="1" customWidth="1"/>
    <col min="5386" max="5386" width="13.140625" style="1" bestFit="1" customWidth="1"/>
    <col min="5387" max="5387" width="9.42578125" style="1" bestFit="1" customWidth="1"/>
    <col min="5388" max="5388" width="11.42578125" style="1" bestFit="1" customWidth="1"/>
    <col min="5389" max="5395" width="9.140625" style="1"/>
    <col min="5396" max="5396" width="13" style="1" customWidth="1"/>
    <col min="5397" max="5397" width="10.42578125" style="1" bestFit="1" customWidth="1"/>
    <col min="5398" max="5398" width="11.28515625" style="1" customWidth="1"/>
    <col min="5399" max="5399" width="9.140625" style="1"/>
    <col min="5400" max="5400" width="14.85546875" style="1" customWidth="1"/>
    <col min="5401" max="5632" width="9.140625" style="1"/>
    <col min="5633" max="5633" width="8.7109375" style="1" customWidth="1"/>
    <col min="5634" max="5634" width="13.140625" style="1" customWidth="1"/>
    <col min="5635" max="5635" width="3.42578125" style="1" customWidth="1"/>
    <col min="5636" max="5636" width="8.42578125" style="1" customWidth="1"/>
    <col min="5637" max="5637" width="15.28515625" style="1" customWidth="1"/>
    <col min="5638" max="5638" width="14.28515625" style="1" customWidth="1"/>
    <col min="5639" max="5639" width="13" style="1" customWidth="1"/>
    <col min="5640" max="5640" width="22.5703125" style="1" customWidth="1"/>
    <col min="5641" max="5641" width="0" style="1" hidden="1" customWidth="1"/>
    <col min="5642" max="5642" width="13.140625" style="1" bestFit="1" customWidth="1"/>
    <col min="5643" max="5643" width="9.42578125" style="1" bestFit="1" customWidth="1"/>
    <col min="5644" max="5644" width="11.42578125" style="1" bestFit="1" customWidth="1"/>
    <col min="5645" max="5651" width="9.140625" style="1"/>
    <col min="5652" max="5652" width="13" style="1" customWidth="1"/>
    <col min="5653" max="5653" width="10.42578125" style="1" bestFit="1" customWidth="1"/>
    <col min="5654" max="5654" width="11.28515625" style="1" customWidth="1"/>
    <col min="5655" max="5655" width="9.140625" style="1"/>
    <col min="5656" max="5656" width="14.85546875" style="1" customWidth="1"/>
    <col min="5657" max="5888" width="9.140625" style="1"/>
    <col min="5889" max="5889" width="8.7109375" style="1" customWidth="1"/>
    <col min="5890" max="5890" width="13.140625" style="1" customWidth="1"/>
    <col min="5891" max="5891" width="3.42578125" style="1" customWidth="1"/>
    <col min="5892" max="5892" width="8.42578125" style="1" customWidth="1"/>
    <col min="5893" max="5893" width="15.28515625" style="1" customWidth="1"/>
    <col min="5894" max="5894" width="14.28515625" style="1" customWidth="1"/>
    <col min="5895" max="5895" width="13" style="1" customWidth="1"/>
    <col min="5896" max="5896" width="22.5703125" style="1" customWidth="1"/>
    <col min="5897" max="5897" width="0" style="1" hidden="1" customWidth="1"/>
    <col min="5898" max="5898" width="13.140625" style="1" bestFit="1" customWidth="1"/>
    <col min="5899" max="5899" width="9.42578125" style="1" bestFit="1" customWidth="1"/>
    <col min="5900" max="5900" width="11.42578125" style="1" bestFit="1" customWidth="1"/>
    <col min="5901" max="5907" width="9.140625" style="1"/>
    <col min="5908" max="5908" width="13" style="1" customWidth="1"/>
    <col min="5909" max="5909" width="10.42578125" style="1" bestFit="1" customWidth="1"/>
    <col min="5910" max="5910" width="11.28515625" style="1" customWidth="1"/>
    <col min="5911" max="5911" width="9.140625" style="1"/>
    <col min="5912" max="5912" width="14.85546875" style="1" customWidth="1"/>
    <col min="5913" max="6144" width="9.140625" style="1"/>
    <col min="6145" max="6145" width="8.7109375" style="1" customWidth="1"/>
    <col min="6146" max="6146" width="13.140625" style="1" customWidth="1"/>
    <col min="6147" max="6147" width="3.42578125" style="1" customWidth="1"/>
    <col min="6148" max="6148" width="8.42578125" style="1" customWidth="1"/>
    <col min="6149" max="6149" width="15.28515625" style="1" customWidth="1"/>
    <col min="6150" max="6150" width="14.28515625" style="1" customWidth="1"/>
    <col min="6151" max="6151" width="13" style="1" customWidth="1"/>
    <col min="6152" max="6152" width="22.5703125" style="1" customWidth="1"/>
    <col min="6153" max="6153" width="0" style="1" hidden="1" customWidth="1"/>
    <col min="6154" max="6154" width="13.140625" style="1" bestFit="1" customWidth="1"/>
    <col min="6155" max="6155" width="9.42578125" style="1" bestFit="1" customWidth="1"/>
    <col min="6156" max="6156" width="11.42578125" style="1" bestFit="1" customWidth="1"/>
    <col min="6157" max="6163" width="9.140625" style="1"/>
    <col min="6164" max="6164" width="13" style="1" customWidth="1"/>
    <col min="6165" max="6165" width="10.42578125" style="1" bestFit="1" customWidth="1"/>
    <col min="6166" max="6166" width="11.28515625" style="1" customWidth="1"/>
    <col min="6167" max="6167" width="9.140625" style="1"/>
    <col min="6168" max="6168" width="14.85546875" style="1" customWidth="1"/>
    <col min="6169" max="6400" width="9.140625" style="1"/>
    <col min="6401" max="6401" width="8.7109375" style="1" customWidth="1"/>
    <col min="6402" max="6402" width="13.140625" style="1" customWidth="1"/>
    <col min="6403" max="6403" width="3.42578125" style="1" customWidth="1"/>
    <col min="6404" max="6404" width="8.42578125" style="1" customWidth="1"/>
    <col min="6405" max="6405" width="15.28515625" style="1" customWidth="1"/>
    <col min="6406" max="6406" width="14.28515625" style="1" customWidth="1"/>
    <col min="6407" max="6407" width="13" style="1" customWidth="1"/>
    <col min="6408" max="6408" width="22.5703125" style="1" customWidth="1"/>
    <col min="6409" max="6409" width="0" style="1" hidden="1" customWidth="1"/>
    <col min="6410" max="6410" width="13.140625" style="1" bestFit="1" customWidth="1"/>
    <col min="6411" max="6411" width="9.42578125" style="1" bestFit="1" customWidth="1"/>
    <col min="6412" max="6412" width="11.42578125" style="1" bestFit="1" customWidth="1"/>
    <col min="6413" max="6419" width="9.140625" style="1"/>
    <col min="6420" max="6420" width="13" style="1" customWidth="1"/>
    <col min="6421" max="6421" width="10.42578125" style="1" bestFit="1" customWidth="1"/>
    <col min="6422" max="6422" width="11.28515625" style="1" customWidth="1"/>
    <col min="6423" max="6423" width="9.140625" style="1"/>
    <col min="6424" max="6424" width="14.85546875" style="1" customWidth="1"/>
    <col min="6425" max="6656" width="9.140625" style="1"/>
    <col min="6657" max="6657" width="8.7109375" style="1" customWidth="1"/>
    <col min="6658" max="6658" width="13.140625" style="1" customWidth="1"/>
    <col min="6659" max="6659" width="3.42578125" style="1" customWidth="1"/>
    <col min="6660" max="6660" width="8.42578125" style="1" customWidth="1"/>
    <col min="6661" max="6661" width="15.28515625" style="1" customWidth="1"/>
    <col min="6662" max="6662" width="14.28515625" style="1" customWidth="1"/>
    <col min="6663" max="6663" width="13" style="1" customWidth="1"/>
    <col min="6664" max="6664" width="22.5703125" style="1" customWidth="1"/>
    <col min="6665" max="6665" width="0" style="1" hidden="1" customWidth="1"/>
    <col min="6666" max="6666" width="13.140625" style="1" bestFit="1" customWidth="1"/>
    <col min="6667" max="6667" width="9.42578125" style="1" bestFit="1" customWidth="1"/>
    <col min="6668" max="6668" width="11.42578125" style="1" bestFit="1" customWidth="1"/>
    <col min="6669" max="6675" width="9.140625" style="1"/>
    <col min="6676" max="6676" width="13" style="1" customWidth="1"/>
    <col min="6677" max="6677" width="10.42578125" style="1" bestFit="1" customWidth="1"/>
    <col min="6678" max="6678" width="11.28515625" style="1" customWidth="1"/>
    <col min="6679" max="6679" width="9.140625" style="1"/>
    <col min="6680" max="6680" width="14.85546875" style="1" customWidth="1"/>
    <col min="6681" max="6912" width="9.140625" style="1"/>
    <col min="6913" max="6913" width="8.7109375" style="1" customWidth="1"/>
    <col min="6914" max="6914" width="13.140625" style="1" customWidth="1"/>
    <col min="6915" max="6915" width="3.42578125" style="1" customWidth="1"/>
    <col min="6916" max="6916" width="8.42578125" style="1" customWidth="1"/>
    <col min="6917" max="6917" width="15.28515625" style="1" customWidth="1"/>
    <col min="6918" max="6918" width="14.28515625" style="1" customWidth="1"/>
    <col min="6919" max="6919" width="13" style="1" customWidth="1"/>
    <col min="6920" max="6920" width="22.5703125" style="1" customWidth="1"/>
    <col min="6921" max="6921" width="0" style="1" hidden="1" customWidth="1"/>
    <col min="6922" max="6922" width="13.140625" style="1" bestFit="1" customWidth="1"/>
    <col min="6923" max="6923" width="9.42578125" style="1" bestFit="1" customWidth="1"/>
    <col min="6924" max="6924" width="11.42578125" style="1" bestFit="1" customWidth="1"/>
    <col min="6925" max="6931" width="9.140625" style="1"/>
    <col min="6932" max="6932" width="13" style="1" customWidth="1"/>
    <col min="6933" max="6933" width="10.42578125" style="1" bestFit="1" customWidth="1"/>
    <col min="6934" max="6934" width="11.28515625" style="1" customWidth="1"/>
    <col min="6935" max="6935" width="9.140625" style="1"/>
    <col min="6936" max="6936" width="14.85546875" style="1" customWidth="1"/>
    <col min="6937" max="7168" width="9.140625" style="1"/>
    <col min="7169" max="7169" width="8.7109375" style="1" customWidth="1"/>
    <col min="7170" max="7170" width="13.140625" style="1" customWidth="1"/>
    <col min="7171" max="7171" width="3.42578125" style="1" customWidth="1"/>
    <col min="7172" max="7172" width="8.42578125" style="1" customWidth="1"/>
    <col min="7173" max="7173" width="15.28515625" style="1" customWidth="1"/>
    <col min="7174" max="7174" width="14.28515625" style="1" customWidth="1"/>
    <col min="7175" max="7175" width="13" style="1" customWidth="1"/>
    <col min="7176" max="7176" width="22.5703125" style="1" customWidth="1"/>
    <col min="7177" max="7177" width="0" style="1" hidden="1" customWidth="1"/>
    <col min="7178" max="7178" width="13.140625" style="1" bestFit="1" customWidth="1"/>
    <col min="7179" max="7179" width="9.42578125" style="1" bestFit="1" customWidth="1"/>
    <col min="7180" max="7180" width="11.42578125" style="1" bestFit="1" customWidth="1"/>
    <col min="7181" max="7187" width="9.140625" style="1"/>
    <col min="7188" max="7188" width="13" style="1" customWidth="1"/>
    <col min="7189" max="7189" width="10.42578125" style="1" bestFit="1" customWidth="1"/>
    <col min="7190" max="7190" width="11.28515625" style="1" customWidth="1"/>
    <col min="7191" max="7191" width="9.140625" style="1"/>
    <col min="7192" max="7192" width="14.85546875" style="1" customWidth="1"/>
    <col min="7193" max="7424" width="9.140625" style="1"/>
    <col min="7425" max="7425" width="8.7109375" style="1" customWidth="1"/>
    <col min="7426" max="7426" width="13.140625" style="1" customWidth="1"/>
    <col min="7427" max="7427" width="3.42578125" style="1" customWidth="1"/>
    <col min="7428" max="7428" width="8.42578125" style="1" customWidth="1"/>
    <col min="7429" max="7429" width="15.28515625" style="1" customWidth="1"/>
    <col min="7430" max="7430" width="14.28515625" style="1" customWidth="1"/>
    <col min="7431" max="7431" width="13" style="1" customWidth="1"/>
    <col min="7432" max="7432" width="22.5703125" style="1" customWidth="1"/>
    <col min="7433" max="7433" width="0" style="1" hidden="1" customWidth="1"/>
    <col min="7434" max="7434" width="13.140625" style="1" bestFit="1" customWidth="1"/>
    <col min="7435" max="7435" width="9.42578125" style="1" bestFit="1" customWidth="1"/>
    <col min="7436" max="7436" width="11.42578125" style="1" bestFit="1" customWidth="1"/>
    <col min="7437" max="7443" width="9.140625" style="1"/>
    <col min="7444" max="7444" width="13" style="1" customWidth="1"/>
    <col min="7445" max="7445" width="10.42578125" style="1" bestFit="1" customWidth="1"/>
    <col min="7446" max="7446" width="11.28515625" style="1" customWidth="1"/>
    <col min="7447" max="7447" width="9.140625" style="1"/>
    <col min="7448" max="7448" width="14.85546875" style="1" customWidth="1"/>
    <col min="7449" max="7680" width="9.140625" style="1"/>
    <col min="7681" max="7681" width="8.7109375" style="1" customWidth="1"/>
    <col min="7682" max="7682" width="13.140625" style="1" customWidth="1"/>
    <col min="7683" max="7683" width="3.42578125" style="1" customWidth="1"/>
    <col min="7684" max="7684" width="8.42578125" style="1" customWidth="1"/>
    <col min="7685" max="7685" width="15.28515625" style="1" customWidth="1"/>
    <col min="7686" max="7686" width="14.28515625" style="1" customWidth="1"/>
    <col min="7687" max="7687" width="13" style="1" customWidth="1"/>
    <col min="7688" max="7688" width="22.5703125" style="1" customWidth="1"/>
    <col min="7689" max="7689" width="0" style="1" hidden="1" customWidth="1"/>
    <col min="7690" max="7690" width="13.140625" style="1" bestFit="1" customWidth="1"/>
    <col min="7691" max="7691" width="9.42578125" style="1" bestFit="1" customWidth="1"/>
    <col min="7692" max="7692" width="11.42578125" style="1" bestFit="1" customWidth="1"/>
    <col min="7693" max="7699" width="9.140625" style="1"/>
    <col min="7700" max="7700" width="13" style="1" customWidth="1"/>
    <col min="7701" max="7701" width="10.42578125" style="1" bestFit="1" customWidth="1"/>
    <col min="7702" max="7702" width="11.28515625" style="1" customWidth="1"/>
    <col min="7703" max="7703" width="9.140625" style="1"/>
    <col min="7704" max="7704" width="14.85546875" style="1" customWidth="1"/>
    <col min="7705" max="7936" width="9.140625" style="1"/>
    <col min="7937" max="7937" width="8.7109375" style="1" customWidth="1"/>
    <col min="7938" max="7938" width="13.140625" style="1" customWidth="1"/>
    <col min="7939" max="7939" width="3.42578125" style="1" customWidth="1"/>
    <col min="7940" max="7940" width="8.42578125" style="1" customWidth="1"/>
    <col min="7941" max="7941" width="15.28515625" style="1" customWidth="1"/>
    <col min="7942" max="7942" width="14.28515625" style="1" customWidth="1"/>
    <col min="7943" max="7943" width="13" style="1" customWidth="1"/>
    <col min="7944" max="7944" width="22.5703125" style="1" customWidth="1"/>
    <col min="7945" max="7945" width="0" style="1" hidden="1" customWidth="1"/>
    <col min="7946" max="7946" width="13.140625" style="1" bestFit="1" customWidth="1"/>
    <col min="7947" max="7947" width="9.42578125" style="1" bestFit="1" customWidth="1"/>
    <col min="7948" max="7948" width="11.42578125" style="1" bestFit="1" customWidth="1"/>
    <col min="7949" max="7955" width="9.140625" style="1"/>
    <col min="7956" max="7956" width="13" style="1" customWidth="1"/>
    <col min="7957" max="7957" width="10.42578125" style="1" bestFit="1" customWidth="1"/>
    <col min="7958" max="7958" width="11.28515625" style="1" customWidth="1"/>
    <col min="7959" max="7959" width="9.140625" style="1"/>
    <col min="7960" max="7960" width="14.85546875" style="1" customWidth="1"/>
    <col min="7961" max="8192" width="9.140625" style="1"/>
    <col min="8193" max="8193" width="8.7109375" style="1" customWidth="1"/>
    <col min="8194" max="8194" width="13.140625" style="1" customWidth="1"/>
    <col min="8195" max="8195" width="3.42578125" style="1" customWidth="1"/>
    <col min="8196" max="8196" width="8.42578125" style="1" customWidth="1"/>
    <col min="8197" max="8197" width="15.28515625" style="1" customWidth="1"/>
    <col min="8198" max="8198" width="14.28515625" style="1" customWidth="1"/>
    <col min="8199" max="8199" width="13" style="1" customWidth="1"/>
    <col min="8200" max="8200" width="22.5703125" style="1" customWidth="1"/>
    <col min="8201" max="8201" width="0" style="1" hidden="1" customWidth="1"/>
    <col min="8202" max="8202" width="13.140625" style="1" bestFit="1" customWidth="1"/>
    <col min="8203" max="8203" width="9.42578125" style="1" bestFit="1" customWidth="1"/>
    <col min="8204" max="8204" width="11.42578125" style="1" bestFit="1" customWidth="1"/>
    <col min="8205" max="8211" width="9.140625" style="1"/>
    <col min="8212" max="8212" width="13" style="1" customWidth="1"/>
    <col min="8213" max="8213" width="10.42578125" style="1" bestFit="1" customWidth="1"/>
    <col min="8214" max="8214" width="11.28515625" style="1" customWidth="1"/>
    <col min="8215" max="8215" width="9.140625" style="1"/>
    <col min="8216" max="8216" width="14.85546875" style="1" customWidth="1"/>
    <col min="8217" max="8448" width="9.140625" style="1"/>
    <col min="8449" max="8449" width="8.7109375" style="1" customWidth="1"/>
    <col min="8450" max="8450" width="13.140625" style="1" customWidth="1"/>
    <col min="8451" max="8451" width="3.42578125" style="1" customWidth="1"/>
    <col min="8452" max="8452" width="8.42578125" style="1" customWidth="1"/>
    <col min="8453" max="8453" width="15.28515625" style="1" customWidth="1"/>
    <col min="8454" max="8454" width="14.28515625" style="1" customWidth="1"/>
    <col min="8455" max="8455" width="13" style="1" customWidth="1"/>
    <col min="8456" max="8456" width="22.5703125" style="1" customWidth="1"/>
    <col min="8457" max="8457" width="0" style="1" hidden="1" customWidth="1"/>
    <col min="8458" max="8458" width="13.140625" style="1" bestFit="1" customWidth="1"/>
    <col min="8459" max="8459" width="9.42578125" style="1" bestFit="1" customWidth="1"/>
    <col min="8460" max="8460" width="11.42578125" style="1" bestFit="1" customWidth="1"/>
    <col min="8461" max="8467" width="9.140625" style="1"/>
    <col min="8468" max="8468" width="13" style="1" customWidth="1"/>
    <col min="8469" max="8469" width="10.42578125" style="1" bestFit="1" customWidth="1"/>
    <col min="8470" max="8470" width="11.28515625" style="1" customWidth="1"/>
    <col min="8471" max="8471" width="9.140625" style="1"/>
    <col min="8472" max="8472" width="14.85546875" style="1" customWidth="1"/>
    <col min="8473" max="8704" width="9.140625" style="1"/>
    <col min="8705" max="8705" width="8.7109375" style="1" customWidth="1"/>
    <col min="8706" max="8706" width="13.140625" style="1" customWidth="1"/>
    <col min="8707" max="8707" width="3.42578125" style="1" customWidth="1"/>
    <col min="8708" max="8708" width="8.42578125" style="1" customWidth="1"/>
    <col min="8709" max="8709" width="15.28515625" style="1" customWidth="1"/>
    <col min="8710" max="8710" width="14.28515625" style="1" customWidth="1"/>
    <col min="8711" max="8711" width="13" style="1" customWidth="1"/>
    <col min="8712" max="8712" width="22.5703125" style="1" customWidth="1"/>
    <col min="8713" max="8713" width="0" style="1" hidden="1" customWidth="1"/>
    <col min="8714" max="8714" width="13.140625" style="1" bestFit="1" customWidth="1"/>
    <col min="8715" max="8715" width="9.42578125" style="1" bestFit="1" customWidth="1"/>
    <col min="8716" max="8716" width="11.42578125" style="1" bestFit="1" customWidth="1"/>
    <col min="8717" max="8723" width="9.140625" style="1"/>
    <col min="8724" max="8724" width="13" style="1" customWidth="1"/>
    <col min="8725" max="8725" width="10.42578125" style="1" bestFit="1" customWidth="1"/>
    <col min="8726" max="8726" width="11.28515625" style="1" customWidth="1"/>
    <col min="8727" max="8727" width="9.140625" style="1"/>
    <col min="8728" max="8728" width="14.85546875" style="1" customWidth="1"/>
    <col min="8729" max="8960" width="9.140625" style="1"/>
    <col min="8961" max="8961" width="8.7109375" style="1" customWidth="1"/>
    <col min="8962" max="8962" width="13.140625" style="1" customWidth="1"/>
    <col min="8963" max="8963" width="3.42578125" style="1" customWidth="1"/>
    <col min="8964" max="8964" width="8.42578125" style="1" customWidth="1"/>
    <col min="8965" max="8965" width="15.28515625" style="1" customWidth="1"/>
    <col min="8966" max="8966" width="14.28515625" style="1" customWidth="1"/>
    <col min="8967" max="8967" width="13" style="1" customWidth="1"/>
    <col min="8968" max="8968" width="22.5703125" style="1" customWidth="1"/>
    <col min="8969" max="8969" width="0" style="1" hidden="1" customWidth="1"/>
    <col min="8970" max="8970" width="13.140625" style="1" bestFit="1" customWidth="1"/>
    <col min="8971" max="8971" width="9.42578125" style="1" bestFit="1" customWidth="1"/>
    <col min="8972" max="8972" width="11.42578125" style="1" bestFit="1" customWidth="1"/>
    <col min="8973" max="8979" width="9.140625" style="1"/>
    <col min="8980" max="8980" width="13" style="1" customWidth="1"/>
    <col min="8981" max="8981" width="10.42578125" style="1" bestFit="1" customWidth="1"/>
    <col min="8982" max="8982" width="11.28515625" style="1" customWidth="1"/>
    <col min="8983" max="8983" width="9.140625" style="1"/>
    <col min="8984" max="8984" width="14.85546875" style="1" customWidth="1"/>
    <col min="8985" max="9216" width="9.140625" style="1"/>
    <col min="9217" max="9217" width="8.7109375" style="1" customWidth="1"/>
    <col min="9218" max="9218" width="13.140625" style="1" customWidth="1"/>
    <col min="9219" max="9219" width="3.42578125" style="1" customWidth="1"/>
    <col min="9220" max="9220" width="8.42578125" style="1" customWidth="1"/>
    <col min="9221" max="9221" width="15.28515625" style="1" customWidth="1"/>
    <col min="9222" max="9222" width="14.28515625" style="1" customWidth="1"/>
    <col min="9223" max="9223" width="13" style="1" customWidth="1"/>
    <col min="9224" max="9224" width="22.5703125" style="1" customWidth="1"/>
    <col min="9225" max="9225" width="0" style="1" hidden="1" customWidth="1"/>
    <col min="9226" max="9226" width="13.140625" style="1" bestFit="1" customWidth="1"/>
    <col min="9227" max="9227" width="9.42578125" style="1" bestFit="1" customWidth="1"/>
    <col min="9228" max="9228" width="11.42578125" style="1" bestFit="1" customWidth="1"/>
    <col min="9229" max="9235" width="9.140625" style="1"/>
    <col min="9236" max="9236" width="13" style="1" customWidth="1"/>
    <col min="9237" max="9237" width="10.42578125" style="1" bestFit="1" customWidth="1"/>
    <col min="9238" max="9238" width="11.28515625" style="1" customWidth="1"/>
    <col min="9239" max="9239" width="9.140625" style="1"/>
    <col min="9240" max="9240" width="14.85546875" style="1" customWidth="1"/>
    <col min="9241" max="9472" width="9.140625" style="1"/>
    <col min="9473" max="9473" width="8.7109375" style="1" customWidth="1"/>
    <col min="9474" max="9474" width="13.140625" style="1" customWidth="1"/>
    <col min="9475" max="9475" width="3.42578125" style="1" customWidth="1"/>
    <col min="9476" max="9476" width="8.42578125" style="1" customWidth="1"/>
    <col min="9477" max="9477" width="15.28515625" style="1" customWidth="1"/>
    <col min="9478" max="9478" width="14.28515625" style="1" customWidth="1"/>
    <col min="9479" max="9479" width="13" style="1" customWidth="1"/>
    <col min="9480" max="9480" width="22.5703125" style="1" customWidth="1"/>
    <col min="9481" max="9481" width="0" style="1" hidden="1" customWidth="1"/>
    <col min="9482" max="9482" width="13.140625" style="1" bestFit="1" customWidth="1"/>
    <col min="9483" max="9483" width="9.42578125" style="1" bestFit="1" customWidth="1"/>
    <col min="9484" max="9484" width="11.42578125" style="1" bestFit="1" customWidth="1"/>
    <col min="9485" max="9491" width="9.140625" style="1"/>
    <col min="9492" max="9492" width="13" style="1" customWidth="1"/>
    <col min="9493" max="9493" width="10.42578125" style="1" bestFit="1" customWidth="1"/>
    <col min="9494" max="9494" width="11.28515625" style="1" customWidth="1"/>
    <col min="9495" max="9495" width="9.140625" style="1"/>
    <col min="9496" max="9496" width="14.85546875" style="1" customWidth="1"/>
    <col min="9497" max="9728" width="9.140625" style="1"/>
    <col min="9729" max="9729" width="8.7109375" style="1" customWidth="1"/>
    <col min="9730" max="9730" width="13.140625" style="1" customWidth="1"/>
    <col min="9731" max="9731" width="3.42578125" style="1" customWidth="1"/>
    <col min="9732" max="9732" width="8.42578125" style="1" customWidth="1"/>
    <col min="9733" max="9733" width="15.28515625" style="1" customWidth="1"/>
    <col min="9734" max="9734" width="14.28515625" style="1" customWidth="1"/>
    <col min="9735" max="9735" width="13" style="1" customWidth="1"/>
    <col min="9736" max="9736" width="22.5703125" style="1" customWidth="1"/>
    <col min="9737" max="9737" width="0" style="1" hidden="1" customWidth="1"/>
    <col min="9738" max="9738" width="13.140625" style="1" bestFit="1" customWidth="1"/>
    <col min="9739" max="9739" width="9.42578125" style="1" bestFit="1" customWidth="1"/>
    <col min="9740" max="9740" width="11.42578125" style="1" bestFit="1" customWidth="1"/>
    <col min="9741" max="9747" width="9.140625" style="1"/>
    <col min="9748" max="9748" width="13" style="1" customWidth="1"/>
    <col min="9749" max="9749" width="10.42578125" style="1" bestFit="1" customWidth="1"/>
    <col min="9750" max="9750" width="11.28515625" style="1" customWidth="1"/>
    <col min="9751" max="9751" width="9.140625" style="1"/>
    <col min="9752" max="9752" width="14.85546875" style="1" customWidth="1"/>
    <col min="9753" max="9984" width="9.140625" style="1"/>
    <col min="9985" max="9985" width="8.7109375" style="1" customWidth="1"/>
    <col min="9986" max="9986" width="13.140625" style="1" customWidth="1"/>
    <col min="9987" max="9987" width="3.42578125" style="1" customWidth="1"/>
    <col min="9988" max="9988" width="8.42578125" style="1" customWidth="1"/>
    <col min="9989" max="9989" width="15.28515625" style="1" customWidth="1"/>
    <col min="9990" max="9990" width="14.28515625" style="1" customWidth="1"/>
    <col min="9991" max="9991" width="13" style="1" customWidth="1"/>
    <col min="9992" max="9992" width="22.5703125" style="1" customWidth="1"/>
    <col min="9993" max="9993" width="0" style="1" hidden="1" customWidth="1"/>
    <col min="9994" max="9994" width="13.140625" style="1" bestFit="1" customWidth="1"/>
    <col min="9995" max="9995" width="9.42578125" style="1" bestFit="1" customWidth="1"/>
    <col min="9996" max="9996" width="11.42578125" style="1" bestFit="1" customWidth="1"/>
    <col min="9997" max="10003" width="9.140625" style="1"/>
    <col min="10004" max="10004" width="13" style="1" customWidth="1"/>
    <col min="10005" max="10005" width="10.42578125" style="1" bestFit="1" customWidth="1"/>
    <col min="10006" max="10006" width="11.28515625" style="1" customWidth="1"/>
    <col min="10007" max="10007" width="9.140625" style="1"/>
    <col min="10008" max="10008" width="14.85546875" style="1" customWidth="1"/>
    <col min="10009" max="10240" width="9.140625" style="1"/>
    <col min="10241" max="10241" width="8.7109375" style="1" customWidth="1"/>
    <col min="10242" max="10242" width="13.140625" style="1" customWidth="1"/>
    <col min="10243" max="10243" width="3.42578125" style="1" customWidth="1"/>
    <col min="10244" max="10244" width="8.42578125" style="1" customWidth="1"/>
    <col min="10245" max="10245" width="15.28515625" style="1" customWidth="1"/>
    <col min="10246" max="10246" width="14.28515625" style="1" customWidth="1"/>
    <col min="10247" max="10247" width="13" style="1" customWidth="1"/>
    <col min="10248" max="10248" width="22.5703125" style="1" customWidth="1"/>
    <col min="10249" max="10249" width="0" style="1" hidden="1" customWidth="1"/>
    <col min="10250" max="10250" width="13.140625" style="1" bestFit="1" customWidth="1"/>
    <col min="10251" max="10251" width="9.42578125" style="1" bestFit="1" customWidth="1"/>
    <col min="10252" max="10252" width="11.42578125" style="1" bestFit="1" customWidth="1"/>
    <col min="10253" max="10259" width="9.140625" style="1"/>
    <col min="10260" max="10260" width="13" style="1" customWidth="1"/>
    <col min="10261" max="10261" width="10.42578125" style="1" bestFit="1" customWidth="1"/>
    <col min="10262" max="10262" width="11.28515625" style="1" customWidth="1"/>
    <col min="10263" max="10263" width="9.140625" style="1"/>
    <col min="10264" max="10264" width="14.85546875" style="1" customWidth="1"/>
    <col min="10265" max="10496" width="9.140625" style="1"/>
    <col min="10497" max="10497" width="8.7109375" style="1" customWidth="1"/>
    <col min="10498" max="10498" width="13.140625" style="1" customWidth="1"/>
    <col min="10499" max="10499" width="3.42578125" style="1" customWidth="1"/>
    <col min="10500" max="10500" width="8.42578125" style="1" customWidth="1"/>
    <col min="10501" max="10501" width="15.28515625" style="1" customWidth="1"/>
    <col min="10502" max="10502" width="14.28515625" style="1" customWidth="1"/>
    <col min="10503" max="10503" width="13" style="1" customWidth="1"/>
    <col min="10504" max="10504" width="22.5703125" style="1" customWidth="1"/>
    <col min="10505" max="10505" width="0" style="1" hidden="1" customWidth="1"/>
    <col min="10506" max="10506" width="13.140625" style="1" bestFit="1" customWidth="1"/>
    <col min="10507" max="10507" width="9.42578125" style="1" bestFit="1" customWidth="1"/>
    <col min="10508" max="10508" width="11.42578125" style="1" bestFit="1" customWidth="1"/>
    <col min="10509" max="10515" width="9.140625" style="1"/>
    <col min="10516" max="10516" width="13" style="1" customWidth="1"/>
    <col min="10517" max="10517" width="10.42578125" style="1" bestFit="1" customWidth="1"/>
    <col min="10518" max="10518" width="11.28515625" style="1" customWidth="1"/>
    <col min="10519" max="10519" width="9.140625" style="1"/>
    <col min="10520" max="10520" width="14.85546875" style="1" customWidth="1"/>
    <col min="10521" max="10752" width="9.140625" style="1"/>
    <col min="10753" max="10753" width="8.7109375" style="1" customWidth="1"/>
    <col min="10754" max="10754" width="13.140625" style="1" customWidth="1"/>
    <col min="10755" max="10755" width="3.42578125" style="1" customWidth="1"/>
    <col min="10756" max="10756" width="8.42578125" style="1" customWidth="1"/>
    <col min="10757" max="10757" width="15.28515625" style="1" customWidth="1"/>
    <col min="10758" max="10758" width="14.28515625" style="1" customWidth="1"/>
    <col min="10759" max="10759" width="13" style="1" customWidth="1"/>
    <col min="10760" max="10760" width="22.5703125" style="1" customWidth="1"/>
    <col min="10761" max="10761" width="0" style="1" hidden="1" customWidth="1"/>
    <col min="10762" max="10762" width="13.140625" style="1" bestFit="1" customWidth="1"/>
    <col min="10763" max="10763" width="9.42578125" style="1" bestFit="1" customWidth="1"/>
    <col min="10764" max="10764" width="11.42578125" style="1" bestFit="1" customWidth="1"/>
    <col min="10765" max="10771" width="9.140625" style="1"/>
    <col min="10772" max="10772" width="13" style="1" customWidth="1"/>
    <col min="10773" max="10773" width="10.42578125" style="1" bestFit="1" customWidth="1"/>
    <col min="10774" max="10774" width="11.28515625" style="1" customWidth="1"/>
    <col min="10775" max="10775" width="9.140625" style="1"/>
    <col min="10776" max="10776" width="14.85546875" style="1" customWidth="1"/>
    <col min="10777" max="11008" width="9.140625" style="1"/>
    <col min="11009" max="11009" width="8.7109375" style="1" customWidth="1"/>
    <col min="11010" max="11010" width="13.140625" style="1" customWidth="1"/>
    <col min="11011" max="11011" width="3.42578125" style="1" customWidth="1"/>
    <col min="11012" max="11012" width="8.42578125" style="1" customWidth="1"/>
    <col min="11013" max="11013" width="15.28515625" style="1" customWidth="1"/>
    <col min="11014" max="11014" width="14.28515625" style="1" customWidth="1"/>
    <col min="11015" max="11015" width="13" style="1" customWidth="1"/>
    <col min="11016" max="11016" width="22.5703125" style="1" customWidth="1"/>
    <col min="11017" max="11017" width="0" style="1" hidden="1" customWidth="1"/>
    <col min="11018" max="11018" width="13.140625" style="1" bestFit="1" customWidth="1"/>
    <col min="11019" max="11019" width="9.42578125" style="1" bestFit="1" customWidth="1"/>
    <col min="11020" max="11020" width="11.42578125" style="1" bestFit="1" customWidth="1"/>
    <col min="11021" max="11027" width="9.140625" style="1"/>
    <col min="11028" max="11028" width="13" style="1" customWidth="1"/>
    <col min="11029" max="11029" width="10.42578125" style="1" bestFit="1" customWidth="1"/>
    <col min="11030" max="11030" width="11.28515625" style="1" customWidth="1"/>
    <col min="11031" max="11031" width="9.140625" style="1"/>
    <col min="11032" max="11032" width="14.85546875" style="1" customWidth="1"/>
    <col min="11033" max="11264" width="9.140625" style="1"/>
    <col min="11265" max="11265" width="8.7109375" style="1" customWidth="1"/>
    <col min="11266" max="11266" width="13.140625" style="1" customWidth="1"/>
    <col min="11267" max="11267" width="3.42578125" style="1" customWidth="1"/>
    <col min="11268" max="11268" width="8.42578125" style="1" customWidth="1"/>
    <col min="11269" max="11269" width="15.28515625" style="1" customWidth="1"/>
    <col min="11270" max="11270" width="14.28515625" style="1" customWidth="1"/>
    <col min="11271" max="11271" width="13" style="1" customWidth="1"/>
    <col min="11272" max="11272" width="22.5703125" style="1" customWidth="1"/>
    <col min="11273" max="11273" width="0" style="1" hidden="1" customWidth="1"/>
    <col min="11274" max="11274" width="13.140625" style="1" bestFit="1" customWidth="1"/>
    <col min="11275" max="11275" width="9.42578125" style="1" bestFit="1" customWidth="1"/>
    <col min="11276" max="11276" width="11.42578125" style="1" bestFit="1" customWidth="1"/>
    <col min="11277" max="11283" width="9.140625" style="1"/>
    <col min="11284" max="11284" width="13" style="1" customWidth="1"/>
    <col min="11285" max="11285" width="10.42578125" style="1" bestFit="1" customWidth="1"/>
    <col min="11286" max="11286" width="11.28515625" style="1" customWidth="1"/>
    <col min="11287" max="11287" width="9.140625" style="1"/>
    <col min="11288" max="11288" width="14.85546875" style="1" customWidth="1"/>
    <col min="11289" max="11520" width="9.140625" style="1"/>
    <col min="11521" max="11521" width="8.7109375" style="1" customWidth="1"/>
    <col min="11522" max="11522" width="13.140625" style="1" customWidth="1"/>
    <col min="11523" max="11523" width="3.42578125" style="1" customWidth="1"/>
    <col min="11524" max="11524" width="8.42578125" style="1" customWidth="1"/>
    <col min="11525" max="11525" width="15.28515625" style="1" customWidth="1"/>
    <col min="11526" max="11526" width="14.28515625" style="1" customWidth="1"/>
    <col min="11527" max="11527" width="13" style="1" customWidth="1"/>
    <col min="11528" max="11528" width="22.5703125" style="1" customWidth="1"/>
    <col min="11529" max="11529" width="0" style="1" hidden="1" customWidth="1"/>
    <col min="11530" max="11530" width="13.140625" style="1" bestFit="1" customWidth="1"/>
    <col min="11531" max="11531" width="9.42578125" style="1" bestFit="1" customWidth="1"/>
    <col min="11532" max="11532" width="11.42578125" style="1" bestFit="1" customWidth="1"/>
    <col min="11533" max="11539" width="9.140625" style="1"/>
    <col min="11540" max="11540" width="13" style="1" customWidth="1"/>
    <col min="11541" max="11541" width="10.42578125" style="1" bestFit="1" customWidth="1"/>
    <col min="11542" max="11542" width="11.28515625" style="1" customWidth="1"/>
    <col min="11543" max="11543" width="9.140625" style="1"/>
    <col min="11544" max="11544" width="14.85546875" style="1" customWidth="1"/>
    <col min="11545" max="11776" width="9.140625" style="1"/>
    <col min="11777" max="11777" width="8.7109375" style="1" customWidth="1"/>
    <col min="11778" max="11778" width="13.140625" style="1" customWidth="1"/>
    <col min="11779" max="11779" width="3.42578125" style="1" customWidth="1"/>
    <col min="11780" max="11780" width="8.42578125" style="1" customWidth="1"/>
    <col min="11781" max="11781" width="15.28515625" style="1" customWidth="1"/>
    <col min="11782" max="11782" width="14.28515625" style="1" customWidth="1"/>
    <col min="11783" max="11783" width="13" style="1" customWidth="1"/>
    <col min="11784" max="11784" width="22.5703125" style="1" customWidth="1"/>
    <col min="11785" max="11785" width="0" style="1" hidden="1" customWidth="1"/>
    <col min="11786" max="11786" width="13.140625" style="1" bestFit="1" customWidth="1"/>
    <col min="11787" max="11787" width="9.42578125" style="1" bestFit="1" customWidth="1"/>
    <col min="11788" max="11788" width="11.42578125" style="1" bestFit="1" customWidth="1"/>
    <col min="11789" max="11795" width="9.140625" style="1"/>
    <col min="11796" max="11796" width="13" style="1" customWidth="1"/>
    <col min="11797" max="11797" width="10.42578125" style="1" bestFit="1" customWidth="1"/>
    <col min="11798" max="11798" width="11.28515625" style="1" customWidth="1"/>
    <col min="11799" max="11799" width="9.140625" style="1"/>
    <col min="11800" max="11800" width="14.85546875" style="1" customWidth="1"/>
    <col min="11801" max="12032" width="9.140625" style="1"/>
    <col min="12033" max="12033" width="8.7109375" style="1" customWidth="1"/>
    <col min="12034" max="12034" width="13.140625" style="1" customWidth="1"/>
    <col min="12035" max="12035" width="3.42578125" style="1" customWidth="1"/>
    <col min="12036" max="12036" width="8.42578125" style="1" customWidth="1"/>
    <col min="12037" max="12037" width="15.28515625" style="1" customWidth="1"/>
    <col min="12038" max="12038" width="14.28515625" style="1" customWidth="1"/>
    <col min="12039" max="12039" width="13" style="1" customWidth="1"/>
    <col min="12040" max="12040" width="22.5703125" style="1" customWidth="1"/>
    <col min="12041" max="12041" width="0" style="1" hidden="1" customWidth="1"/>
    <col min="12042" max="12042" width="13.140625" style="1" bestFit="1" customWidth="1"/>
    <col min="12043" max="12043" width="9.42578125" style="1" bestFit="1" customWidth="1"/>
    <col min="12044" max="12044" width="11.42578125" style="1" bestFit="1" customWidth="1"/>
    <col min="12045" max="12051" width="9.140625" style="1"/>
    <col min="12052" max="12052" width="13" style="1" customWidth="1"/>
    <col min="12053" max="12053" width="10.42578125" style="1" bestFit="1" customWidth="1"/>
    <col min="12054" max="12054" width="11.28515625" style="1" customWidth="1"/>
    <col min="12055" max="12055" width="9.140625" style="1"/>
    <col min="12056" max="12056" width="14.85546875" style="1" customWidth="1"/>
    <col min="12057" max="12288" width="9.140625" style="1"/>
    <col min="12289" max="12289" width="8.7109375" style="1" customWidth="1"/>
    <col min="12290" max="12290" width="13.140625" style="1" customWidth="1"/>
    <col min="12291" max="12291" width="3.42578125" style="1" customWidth="1"/>
    <col min="12292" max="12292" width="8.42578125" style="1" customWidth="1"/>
    <col min="12293" max="12293" width="15.28515625" style="1" customWidth="1"/>
    <col min="12294" max="12294" width="14.28515625" style="1" customWidth="1"/>
    <col min="12295" max="12295" width="13" style="1" customWidth="1"/>
    <col min="12296" max="12296" width="22.5703125" style="1" customWidth="1"/>
    <col min="12297" max="12297" width="0" style="1" hidden="1" customWidth="1"/>
    <col min="12298" max="12298" width="13.140625" style="1" bestFit="1" customWidth="1"/>
    <col min="12299" max="12299" width="9.42578125" style="1" bestFit="1" customWidth="1"/>
    <col min="12300" max="12300" width="11.42578125" style="1" bestFit="1" customWidth="1"/>
    <col min="12301" max="12307" width="9.140625" style="1"/>
    <col min="12308" max="12308" width="13" style="1" customWidth="1"/>
    <col min="12309" max="12309" width="10.42578125" style="1" bestFit="1" customWidth="1"/>
    <col min="12310" max="12310" width="11.28515625" style="1" customWidth="1"/>
    <col min="12311" max="12311" width="9.140625" style="1"/>
    <col min="12312" max="12312" width="14.85546875" style="1" customWidth="1"/>
    <col min="12313" max="12544" width="9.140625" style="1"/>
    <col min="12545" max="12545" width="8.7109375" style="1" customWidth="1"/>
    <col min="12546" max="12546" width="13.140625" style="1" customWidth="1"/>
    <col min="12547" max="12547" width="3.42578125" style="1" customWidth="1"/>
    <col min="12548" max="12548" width="8.42578125" style="1" customWidth="1"/>
    <col min="12549" max="12549" width="15.28515625" style="1" customWidth="1"/>
    <col min="12550" max="12550" width="14.28515625" style="1" customWidth="1"/>
    <col min="12551" max="12551" width="13" style="1" customWidth="1"/>
    <col min="12552" max="12552" width="22.5703125" style="1" customWidth="1"/>
    <col min="12553" max="12553" width="0" style="1" hidden="1" customWidth="1"/>
    <col min="12554" max="12554" width="13.140625" style="1" bestFit="1" customWidth="1"/>
    <col min="12555" max="12555" width="9.42578125" style="1" bestFit="1" customWidth="1"/>
    <col min="12556" max="12556" width="11.42578125" style="1" bestFit="1" customWidth="1"/>
    <col min="12557" max="12563" width="9.140625" style="1"/>
    <col min="12564" max="12564" width="13" style="1" customWidth="1"/>
    <col min="12565" max="12565" width="10.42578125" style="1" bestFit="1" customWidth="1"/>
    <col min="12566" max="12566" width="11.28515625" style="1" customWidth="1"/>
    <col min="12567" max="12567" width="9.140625" style="1"/>
    <col min="12568" max="12568" width="14.85546875" style="1" customWidth="1"/>
    <col min="12569" max="12800" width="9.140625" style="1"/>
    <col min="12801" max="12801" width="8.7109375" style="1" customWidth="1"/>
    <col min="12802" max="12802" width="13.140625" style="1" customWidth="1"/>
    <col min="12803" max="12803" width="3.42578125" style="1" customWidth="1"/>
    <col min="12804" max="12804" width="8.42578125" style="1" customWidth="1"/>
    <col min="12805" max="12805" width="15.28515625" style="1" customWidth="1"/>
    <col min="12806" max="12806" width="14.28515625" style="1" customWidth="1"/>
    <col min="12807" max="12807" width="13" style="1" customWidth="1"/>
    <col min="12808" max="12808" width="22.5703125" style="1" customWidth="1"/>
    <col min="12809" max="12809" width="0" style="1" hidden="1" customWidth="1"/>
    <col min="12810" max="12810" width="13.140625" style="1" bestFit="1" customWidth="1"/>
    <col min="12811" max="12811" width="9.42578125" style="1" bestFit="1" customWidth="1"/>
    <col min="12812" max="12812" width="11.42578125" style="1" bestFit="1" customWidth="1"/>
    <col min="12813" max="12819" width="9.140625" style="1"/>
    <col min="12820" max="12820" width="13" style="1" customWidth="1"/>
    <col min="12821" max="12821" width="10.42578125" style="1" bestFit="1" customWidth="1"/>
    <col min="12822" max="12822" width="11.28515625" style="1" customWidth="1"/>
    <col min="12823" max="12823" width="9.140625" style="1"/>
    <col min="12824" max="12824" width="14.85546875" style="1" customWidth="1"/>
    <col min="12825" max="13056" width="9.140625" style="1"/>
    <col min="13057" max="13057" width="8.7109375" style="1" customWidth="1"/>
    <col min="13058" max="13058" width="13.140625" style="1" customWidth="1"/>
    <col min="13059" max="13059" width="3.42578125" style="1" customWidth="1"/>
    <col min="13060" max="13060" width="8.42578125" style="1" customWidth="1"/>
    <col min="13061" max="13061" width="15.28515625" style="1" customWidth="1"/>
    <col min="13062" max="13062" width="14.28515625" style="1" customWidth="1"/>
    <col min="13063" max="13063" width="13" style="1" customWidth="1"/>
    <col min="13064" max="13064" width="22.5703125" style="1" customWidth="1"/>
    <col min="13065" max="13065" width="0" style="1" hidden="1" customWidth="1"/>
    <col min="13066" max="13066" width="13.140625" style="1" bestFit="1" customWidth="1"/>
    <col min="13067" max="13067" width="9.42578125" style="1" bestFit="1" customWidth="1"/>
    <col min="13068" max="13068" width="11.42578125" style="1" bestFit="1" customWidth="1"/>
    <col min="13069" max="13075" width="9.140625" style="1"/>
    <col min="13076" max="13076" width="13" style="1" customWidth="1"/>
    <col min="13077" max="13077" width="10.42578125" style="1" bestFit="1" customWidth="1"/>
    <col min="13078" max="13078" width="11.28515625" style="1" customWidth="1"/>
    <col min="13079" max="13079" width="9.140625" style="1"/>
    <col min="13080" max="13080" width="14.85546875" style="1" customWidth="1"/>
    <col min="13081" max="13312" width="9.140625" style="1"/>
    <col min="13313" max="13313" width="8.7109375" style="1" customWidth="1"/>
    <col min="13314" max="13314" width="13.140625" style="1" customWidth="1"/>
    <col min="13315" max="13315" width="3.42578125" style="1" customWidth="1"/>
    <col min="13316" max="13316" width="8.42578125" style="1" customWidth="1"/>
    <col min="13317" max="13317" width="15.28515625" style="1" customWidth="1"/>
    <col min="13318" max="13318" width="14.28515625" style="1" customWidth="1"/>
    <col min="13319" max="13319" width="13" style="1" customWidth="1"/>
    <col min="13320" max="13320" width="22.5703125" style="1" customWidth="1"/>
    <col min="13321" max="13321" width="0" style="1" hidden="1" customWidth="1"/>
    <col min="13322" max="13322" width="13.140625" style="1" bestFit="1" customWidth="1"/>
    <col min="13323" max="13323" width="9.42578125" style="1" bestFit="1" customWidth="1"/>
    <col min="13324" max="13324" width="11.42578125" style="1" bestFit="1" customWidth="1"/>
    <col min="13325" max="13331" width="9.140625" style="1"/>
    <col min="13332" max="13332" width="13" style="1" customWidth="1"/>
    <col min="13333" max="13333" width="10.42578125" style="1" bestFit="1" customWidth="1"/>
    <col min="13334" max="13334" width="11.28515625" style="1" customWidth="1"/>
    <col min="13335" max="13335" width="9.140625" style="1"/>
    <col min="13336" max="13336" width="14.85546875" style="1" customWidth="1"/>
    <col min="13337" max="13568" width="9.140625" style="1"/>
    <col min="13569" max="13569" width="8.7109375" style="1" customWidth="1"/>
    <col min="13570" max="13570" width="13.140625" style="1" customWidth="1"/>
    <col min="13571" max="13571" width="3.42578125" style="1" customWidth="1"/>
    <col min="13572" max="13572" width="8.42578125" style="1" customWidth="1"/>
    <col min="13573" max="13573" width="15.28515625" style="1" customWidth="1"/>
    <col min="13574" max="13574" width="14.28515625" style="1" customWidth="1"/>
    <col min="13575" max="13575" width="13" style="1" customWidth="1"/>
    <col min="13576" max="13576" width="22.5703125" style="1" customWidth="1"/>
    <col min="13577" max="13577" width="0" style="1" hidden="1" customWidth="1"/>
    <col min="13578" max="13578" width="13.140625" style="1" bestFit="1" customWidth="1"/>
    <col min="13579" max="13579" width="9.42578125" style="1" bestFit="1" customWidth="1"/>
    <col min="13580" max="13580" width="11.42578125" style="1" bestFit="1" customWidth="1"/>
    <col min="13581" max="13587" width="9.140625" style="1"/>
    <col min="13588" max="13588" width="13" style="1" customWidth="1"/>
    <col min="13589" max="13589" width="10.42578125" style="1" bestFit="1" customWidth="1"/>
    <col min="13590" max="13590" width="11.28515625" style="1" customWidth="1"/>
    <col min="13591" max="13591" width="9.140625" style="1"/>
    <col min="13592" max="13592" width="14.85546875" style="1" customWidth="1"/>
    <col min="13593" max="13824" width="9.140625" style="1"/>
    <col min="13825" max="13825" width="8.7109375" style="1" customWidth="1"/>
    <col min="13826" max="13826" width="13.140625" style="1" customWidth="1"/>
    <col min="13827" max="13827" width="3.42578125" style="1" customWidth="1"/>
    <col min="13828" max="13828" width="8.42578125" style="1" customWidth="1"/>
    <col min="13829" max="13829" width="15.28515625" style="1" customWidth="1"/>
    <col min="13830" max="13830" width="14.28515625" style="1" customWidth="1"/>
    <col min="13831" max="13831" width="13" style="1" customWidth="1"/>
    <col min="13832" max="13832" width="22.5703125" style="1" customWidth="1"/>
    <col min="13833" max="13833" width="0" style="1" hidden="1" customWidth="1"/>
    <col min="13834" max="13834" width="13.140625" style="1" bestFit="1" customWidth="1"/>
    <col min="13835" max="13835" width="9.42578125" style="1" bestFit="1" customWidth="1"/>
    <col min="13836" max="13836" width="11.42578125" style="1" bestFit="1" customWidth="1"/>
    <col min="13837" max="13843" width="9.140625" style="1"/>
    <col min="13844" max="13844" width="13" style="1" customWidth="1"/>
    <col min="13845" max="13845" width="10.42578125" style="1" bestFit="1" customWidth="1"/>
    <col min="13846" max="13846" width="11.28515625" style="1" customWidth="1"/>
    <col min="13847" max="13847" width="9.140625" style="1"/>
    <col min="13848" max="13848" width="14.85546875" style="1" customWidth="1"/>
    <col min="13849" max="14080" width="9.140625" style="1"/>
    <col min="14081" max="14081" width="8.7109375" style="1" customWidth="1"/>
    <col min="14082" max="14082" width="13.140625" style="1" customWidth="1"/>
    <col min="14083" max="14083" width="3.42578125" style="1" customWidth="1"/>
    <col min="14084" max="14084" width="8.42578125" style="1" customWidth="1"/>
    <col min="14085" max="14085" width="15.28515625" style="1" customWidth="1"/>
    <col min="14086" max="14086" width="14.28515625" style="1" customWidth="1"/>
    <col min="14087" max="14087" width="13" style="1" customWidth="1"/>
    <col min="14088" max="14088" width="22.5703125" style="1" customWidth="1"/>
    <col min="14089" max="14089" width="0" style="1" hidden="1" customWidth="1"/>
    <col min="14090" max="14090" width="13.140625" style="1" bestFit="1" customWidth="1"/>
    <col min="14091" max="14091" width="9.42578125" style="1" bestFit="1" customWidth="1"/>
    <col min="14092" max="14092" width="11.42578125" style="1" bestFit="1" customWidth="1"/>
    <col min="14093" max="14099" width="9.140625" style="1"/>
    <col min="14100" max="14100" width="13" style="1" customWidth="1"/>
    <col min="14101" max="14101" width="10.42578125" style="1" bestFit="1" customWidth="1"/>
    <col min="14102" max="14102" width="11.28515625" style="1" customWidth="1"/>
    <col min="14103" max="14103" width="9.140625" style="1"/>
    <col min="14104" max="14104" width="14.85546875" style="1" customWidth="1"/>
    <col min="14105" max="14336" width="9.140625" style="1"/>
    <col min="14337" max="14337" width="8.7109375" style="1" customWidth="1"/>
    <col min="14338" max="14338" width="13.140625" style="1" customWidth="1"/>
    <col min="14339" max="14339" width="3.42578125" style="1" customWidth="1"/>
    <col min="14340" max="14340" width="8.42578125" style="1" customWidth="1"/>
    <col min="14341" max="14341" width="15.28515625" style="1" customWidth="1"/>
    <col min="14342" max="14342" width="14.28515625" style="1" customWidth="1"/>
    <col min="14343" max="14343" width="13" style="1" customWidth="1"/>
    <col min="14344" max="14344" width="22.5703125" style="1" customWidth="1"/>
    <col min="14345" max="14345" width="0" style="1" hidden="1" customWidth="1"/>
    <col min="14346" max="14346" width="13.140625" style="1" bestFit="1" customWidth="1"/>
    <col min="14347" max="14347" width="9.42578125" style="1" bestFit="1" customWidth="1"/>
    <col min="14348" max="14348" width="11.42578125" style="1" bestFit="1" customWidth="1"/>
    <col min="14349" max="14355" width="9.140625" style="1"/>
    <col min="14356" max="14356" width="13" style="1" customWidth="1"/>
    <col min="14357" max="14357" width="10.42578125" style="1" bestFit="1" customWidth="1"/>
    <col min="14358" max="14358" width="11.28515625" style="1" customWidth="1"/>
    <col min="14359" max="14359" width="9.140625" style="1"/>
    <col min="14360" max="14360" width="14.85546875" style="1" customWidth="1"/>
    <col min="14361" max="14592" width="9.140625" style="1"/>
    <col min="14593" max="14593" width="8.7109375" style="1" customWidth="1"/>
    <col min="14594" max="14594" width="13.140625" style="1" customWidth="1"/>
    <col min="14595" max="14595" width="3.42578125" style="1" customWidth="1"/>
    <col min="14596" max="14596" width="8.42578125" style="1" customWidth="1"/>
    <col min="14597" max="14597" width="15.28515625" style="1" customWidth="1"/>
    <col min="14598" max="14598" width="14.28515625" style="1" customWidth="1"/>
    <col min="14599" max="14599" width="13" style="1" customWidth="1"/>
    <col min="14600" max="14600" width="22.5703125" style="1" customWidth="1"/>
    <col min="14601" max="14601" width="0" style="1" hidden="1" customWidth="1"/>
    <col min="14602" max="14602" width="13.140625" style="1" bestFit="1" customWidth="1"/>
    <col min="14603" max="14603" width="9.42578125" style="1" bestFit="1" customWidth="1"/>
    <col min="14604" max="14604" width="11.42578125" style="1" bestFit="1" customWidth="1"/>
    <col min="14605" max="14611" width="9.140625" style="1"/>
    <col min="14612" max="14612" width="13" style="1" customWidth="1"/>
    <col min="14613" max="14613" width="10.42578125" style="1" bestFit="1" customWidth="1"/>
    <col min="14614" max="14614" width="11.28515625" style="1" customWidth="1"/>
    <col min="14615" max="14615" width="9.140625" style="1"/>
    <col min="14616" max="14616" width="14.85546875" style="1" customWidth="1"/>
    <col min="14617" max="14848" width="9.140625" style="1"/>
    <col min="14849" max="14849" width="8.7109375" style="1" customWidth="1"/>
    <col min="14850" max="14850" width="13.140625" style="1" customWidth="1"/>
    <col min="14851" max="14851" width="3.42578125" style="1" customWidth="1"/>
    <col min="14852" max="14852" width="8.42578125" style="1" customWidth="1"/>
    <col min="14853" max="14853" width="15.28515625" style="1" customWidth="1"/>
    <col min="14854" max="14854" width="14.28515625" style="1" customWidth="1"/>
    <col min="14855" max="14855" width="13" style="1" customWidth="1"/>
    <col min="14856" max="14856" width="22.5703125" style="1" customWidth="1"/>
    <col min="14857" max="14857" width="0" style="1" hidden="1" customWidth="1"/>
    <col min="14858" max="14858" width="13.140625" style="1" bestFit="1" customWidth="1"/>
    <col min="14859" max="14859" width="9.42578125" style="1" bestFit="1" customWidth="1"/>
    <col min="14860" max="14860" width="11.42578125" style="1" bestFit="1" customWidth="1"/>
    <col min="14861" max="14867" width="9.140625" style="1"/>
    <col min="14868" max="14868" width="13" style="1" customWidth="1"/>
    <col min="14869" max="14869" width="10.42578125" style="1" bestFit="1" customWidth="1"/>
    <col min="14870" max="14870" width="11.28515625" style="1" customWidth="1"/>
    <col min="14871" max="14871" width="9.140625" style="1"/>
    <col min="14872" max="14872" width="14.85546875" style="1" customWidth="1"/>
    <col min="14873" max="15104" width="9.140625" style="1"/>
    <col min="15105" max="15105" width="8.7109375" style="1" customWidth="1"/>
    <col min="15106" max="15106" width="13.140625" style="1" customWidth="1"/>
    <col min="15107" max="15107" width="3.42578125" style="1" customWidth="1"/>
    <col min="15108" max="15108" width="8.42578125" style="1" customWidth="1"/>
    <col min="15109" max="15109" width="15.28515625" style="1" customWidth="1"/>
    <col min="15110" max="15110" width="14.28515625" style="1" customWidth="1"/>
    <col min="15111" max="15111" width="13" style="1" customWidth="1"/>
    <col min="15112" max="15112" width="22.5703125" style="1" customWidth="1"/>
    <col min="15113" max="15113" width="0" style="1" hidden="1" customWidth="1"/>
    <col min="15114" max="15114" width="13.140625" style="1" bestFit="1" customWidth="1"/>
    <col min="15115" max="15115" width="9.42578125" style="1" bestFit="1" customWidth="1"/>
    <col min="15116" max="15116" width="11.42578125" style="1" bestFit="1" customWidth="1"/>
    <col min="15117" max="15123" width="9.140625" style="1"/>
    <col min="15124" max="15124" width="13" style="1" customWidth="1"/>
    <col min="15125" max="15125" width="10.42578125" style="1" bestFit="1" customWidth="1"/>
    <col min="15126" max="15126" width="11.28515625" style="1" customWidth="1"/>
    <col min="15127" max="15127" width="9.140625" style="1"/>
    <col min="15128" max="15128" width="14.85546875" style="1" customWidth="1"/>
    <col min="15129" max="15360" width="9.140625" style="1"/>
    <col min="15361" max="15361" width="8.7109375" style="1" customWidth="1"/>
    <col min="15362" max="15362" width="13.140625" style="1" customWidth="1"/>
    <col min="15363" max="15363" width="3.42578125" style="1" customWidth="1"/>
    <col min="15364" max="15364" width="8.42578125" style="1" customWidth="1"/>
    <col min="15365" max="15365" width="15.28515625" style="1" customWidth="1"/>
    <col min="15366" max="15366" width="14.28515625" style="1" customWidth="1"/>
    <col min="15367" max="15367" width="13" style="1" customWidth="1"/>
    <col min="15368" max="15368" width="22.5703125" style="1" customWidth="1"/>
    <col min="15369" max="15369" width="0" style="1" hidden="1" customWidth="1"/>
    <col min="15370" max="15370" width="13.140625" style="1" bestFit="1" customWidth="1"/>
    <col min="15371" max="15371" width="9.42578125" style="1" bestFit="1" customWidth="1"/>
    <col min="15372" max="15372" width="11.42578125" style="1" bestFit="1" customWidth="1"/>
    <col min="15373" max="15379" width="9.140625" style="1"/>
    <col min="15380" max="15380" width="13" style="1" customWidth="1"/>
    <col min="15381" max="15381" width="10.42578125" style="1" bestFit="1" customWidth="1"/>
    <col min="15382" max="15382" width="11.28515625" style="1" customWidth="1"/>
    <col min="15383" max="15383" width="9.140625" style="1"/>
    <col min="15384" max="15384" width="14.85546875" style="1" customWidth="1"/>
    <col min="15385" max="15616" width="9.140625" style="1"/>
    <col min="15617" max="15617" width="8.7109375" style="1" customWidth="1"/>
    <col min="15618" max="15618" width="13.140625" style="1" customWidth="1"/>
    <col min="15619" max="15619" width="3.42578125" style="1" customWidth="1"/>
    <col min="15620" max="15620" width="8.42578125" style="1" customWidth="1"/>
    <col min="15621" max="15621" width="15.28515625" style="1" customWidth="1"/>
    <col min="15622" max="15622" width="14.28515625" style="1" customWidth="1"/>
    <col min="15623" max="15623" width="13" style="1" customWidth="1"/>
    <col min="15624" max="15624" width="22.5703125" style="1" customWidth="1"/>
    <col min="15625" max="15625" width="0" style="1" hidden="1" customWidth="1"/>
    <col min="15626" max="15626" width="13.140625" style="1" bestFit="1" customWidth="1"/>
    <col min="15627" max="15627" width="9.42578125" style="1" bestFit="1" customWidth="1"/>
    <col min="15628" max="15628" width="11.42578125" style="1" bestFit="1" customWidth="1"/>
    <col min="15629" max="15635" width="9.140625" style="1"/>
    <col min="15636" max="15636" width="13" style="1" customWidth="1"/>
    <col min="15637" max="15637" width="10.42578125" style="1" bestFit="1" customWidth="1"/>
    <col min="15638" max="15638" width="11.28515625" style="1" customWidth="1"/>
    <col min="15639" max="15639" width="9.140625" style="1"/>
    <col min="15640" max="15640" width="14.85546875" style="1" customWidth="1"/>
    <col min="15641" max="15872" width="9.140625" style="1"/>
    <col min="15873" max="15873" width="8.7109375" style="1" customWidth="1"/>
    <col min="15874" max="15874" width="13.140625" style="1" customWidth="1"/>
    <col min="15875" max="15875" width="3.42578125" style="1" customWidth="1"/>
    <col min="15876" max="15876" width="8.42578125" style="1" customWidth="1"/>
    <col min="15877" max="15877" width="15.28515625" style="1" customWidth="1"/>
    <col min="15878" max="15878" width="14.28515625" style="1" customWidth="1"/>
    <col min="15879" max="15879" width="13" style="1" customWidth="1"/>
    <col min="15880" max="15880" width="22.5703125" style="1" customWidth="1"/>
    <col min="15881" max="15881" width="0" style="1" hidden="1" customWidth="1"/>
    <col min="15882" max="15882" width="13.140625" style="1" bestFit="1" customWidth="1"/>
    <col min="15883" max="15883" width="9.42578125" style="1" bestFit="1" customWidth="1"/>
    <col min="15884" max="15884" width="11.42578125" style="1" bestFit="1" customWidth="1"/>
    <col min="15885" max="15891" width="9.140625" style="1"/>
    <col min="15892" max="15892" width="13" style="1" customWidth="1"/>
    <col min="15893" max="15893" width="10.42578125" style="1" bestFit="1" customWidth="1"/>
    <col min="15894" max="15894" width="11.28515625" style="1" customWidth="1"/>
    <col min="15895" max="15895" width="9.140625" style="1"/>
    <col min="15896" max="15896" width="14.85546875" style="1" customWidth="1"/>
    <col min="15897" max="16128" width="9.140625" style="1"/>
    <col min="16129" max="16129" width="8.7109375" style="1" customWidth="1"/>
    <col min="16130" max="16130" width="13.140625" style="1" customWidth="1"/>
    <col min="16131" max="16131" width="3.42578125" style="1" customWidth="1"/>
    <col min="16132" max="16132" width="8.42578125" style="1" customWidth="1"/>
    <col min="16133" max="16133" width="15.28515625" style="1" customWidth="1"/>
    <col min="16134" max="16134" width="14.28515625" style="1" customWidth="1"/>
    <col min="16135" max="16135" width="13" style="1" customWidth="1"/>
    <col min="16136" max="16136" width="22.5703125" style="1" customWidth="1"/>
    <col min="16137" max="16137" width="0" style="1" hidden="1" customWidth="1"/>
    <col min="16138" max="16138" width="13.140625" style="1" bestFit="1" customWidth="1"/>
    <col min="16139" max="16139" width="9.42578125" style="1" bestFit="1" customWidth="1"/>
    <col min="16140" max="16140" width="11.42578125" style="1" bestFit="1" customWidth="1"/>
    <col min="16141" max="16147" width="9.140625" style="1"/>
    <col min="16148" max="16148" width="13" style="1" customWidth="1"/>
    <col min="16149" max="16149" width="10.42578125" style="1" bestFit="1" customWidth="1"/>
    <col min="16150" max="16150" width="11.28515625" style="1" customWidth="1"/>
    <col min="16151" max="16151" width="9.140625" style="1"/>
    <col min="16152" max="16152" width="14.85546875" style="1" customWidth="1"/>
    <col min="16153" max="16384" width="9.140625" style="1"/>
  </cols>
  <sheetData>
    <row r="1" spans="1:9" x14ac:dyDescent="0.25">
      <c r="E1" s="301" t="s">
        <v>14</v>
      </c>
      <c r="F1" s="301"/>
      <c r="G1" s="301"/>
      <c r="H1" s="301"/>
      <c r="I1" s="165"/>
    </row>
    <row r="2" spans="1:9" x14ac:dyDescent="0.2">
      <c r="E2" s="303" t="s">
        <v>287</v>
      </c>
      <c r="F2" s="303"/>
      <c r="G2" s="303"/>
      <c r="H2" s="303"/>
      <c r="I2" s="166"/>
    </row>
    <row r="3" spans="1:9" ht="12" customHeight="1" x14ac:dyDescent="0.25">
      <c r="E3" s="302" t="s">
        <v>245</v>
      </c>
      <c r="F3" s="302"/>
      <c r="G3" s="302"/>
      <c r="H3" s="302"/>
      <c r="I3" s="168"/>
    </row>
    <row r="4" spans="1:9" ht="24.75" customHeight="1" x14ac:dyDescent="0.25">
      <c r="E4" s="300" t="s">
        <v>286</v>
      </c>
      <c r="F4" s="300"/>
      <c r="G4" s="300"/>
      <c r="H4" s="300"/>
      <c r="I4" s="167"/>
    </row>
    <row r="5" spans="1:9" ht="9.75" customHeight="1" x14ac:dyDescent="0.25">
      <c r="E5" s="304" t="s">
        <v>246</v>
      </c>
      <c r="F5" s="304"/>
      <c r="G5" s="304"/>
      <c r="H5" s="304"/>
      <c r="I5" s="165"/>
    </row>
    <row r="6" spans="1:9" ht="16.5" customHeight="1" x14ac:dyDescent="0.25">
      <c r="E6" s="172"/>
      <c r="F6" s="300" t="s">
        <v>279</v>
      </c>
      <c r="G6" s="300"/>
      <c r="H6" s="300"/>
      <c r="I6" s="8"/>
    </row>
    <row r="7" spans="1:9" ht="16.5" customHeight="1" x14ac:dyDescent="0.25">
      <c r="D7" s="20"/>
      <c r="E7" s="161" t="s">
        <v>15</v>
      </c>
      <c r="F7" s="169" t="s">
        <v>16</v>
      </c>
      <c r="G7" s="162"/>
      <c r="H7" s="165"/>
      <c r="I7" s="19"/>
    </row>
    <row r="8" spans="1:9" ht="16.5" customHeight="1" x14ac:dyDescent="0.25">
      <c r="D8" s="20"/>
      <c r="E8" s="193" t="str">
        <f>B13</f>
        <v>от 24  июля   2023 года</v>
      </c>
      <c r="F8" s="19"/>
      <c r="G8" s="19"/>
      <c r="H8" s="19"/>
      <c r="I8" s="19"/>
    </row>
    <row r="9" spans="1:9" ht="16.5" customHeight="1" x14ac:dyDescent="0.25">
      <c r="D9" s="20"/>
      <c r="E9" s="19"/>
      <c r="F9" s="19"/>
      <c r="G9" s="19"/>
      <c r="H9" s="19"/>
      <c r="I9" s="19"/>
    </row>
    <row r="10" spans="1:9" ht="18.75" x14ac:dyDescent="0.25">
      <c r="A10" s="305" t="s">
        <v>17</v>
      </c>
      <c r="B10" s="305"/>
      <c r="C10" s="305"/>
      <c r="D10" s="305"/>
      <c r="E10" s="305"/>
      <c r="F10" s="305"/>
      <c r="G10" s="305"/>
      <c r="H10" s="9"/>
      <c r="I10" s="9"/>
    </row>
    <row r="11" spans="1:9" ht="18" customHeight="1" x14ac:dyDescent="0.25">
      <c r="A11" s="305" t="s">
        <v>275</v>
      </c>
      <c r="B11" s="305"/>
      <c r="C11" s="305"/>
      <c r="D11" s="305"/>
      <c r="E11" s="305"/>
      <c r="F11" s="305"/>
      <c r="G11" s="305"/>
      <c r="H11" s="9"/>
      <c r="I11" s="9"/>
    </row>
    <row r="12" spans="1:9" ht="18.75" x14ac:dyDescent="0.25">
      <c r="A12" s="9"/>
      <c r="B12" s="9"/>
      <c r="C12" s="9"/>
      <c r="D12" s="9"/>
      <c r="E12" s="9"/>
      <c r="F12" s="5"/>
      <c r="G12" s="7"/>
      <c r="H12" s="306" t="s">
        <v>18</v>
      </c>
      <c r="I12" s="307"/>
    </row>
    <row r="13" spans="1:9" ht="18" customHeight="1" x14ac:dyDescent="0.25">
      <c r="A13" s="26"/>
      <c r="B13" s="315" t="s">
        <v>288</v>
      </c>
      <c r="C13" s="315"/>
      <c r="D13" s="315"/>
      <c r="E13" s="315"/>
      <c r="F13" s="310" t="s">
        <v>19</v>
      </c>
      <c r="G13" s="311"/>
      <c r="H13" s="312" t="s">
        <v>242</v>
      </c>
      <c r="I13" s="313"/>
    </row>
    <row r="14" spans="1:9" ht="32.25" customHeight="1" x14ac:dyDescent="0.25">
      <c r="A14" s="5"/>
      <c r="B14" s="5"/>
      <c r="C14" s="5"/>
      <c r="D14" s="5"/>
      <c r="E14" s="5"/>
      <c r="G14" s="22" t="s">
        <v>33</v>
      </c>
      <c r="H14" s="314"/>
      <c r="I14" s="296"/>
    </row>
    <row r="15" spans="1:9" ht="18.75" customHeight="1" x14ac:dyDescent="0.25">
      <c r="G15" s="21" t="s">
        <v>243</v>
      </c>
      <c r="H15" s="308" t="s">
        <v>159</v>
      </c>
      <c r="I15" s="309"/>
    </row>
    <row r="16" spans="1:9" ht="26.25" customHeight="1" x14ac:dyDescent="0.25">
      <c r="A16" s="298" t="s">
        <v>244</v>
      </c>
      <c r="B16" s="298"/>
      <c r="C16" s="298"/>
      <c r="D16" s="298"/>
      <c r="E16" s="23"/>
      <c r="F16" s="24"/>
      <c r="G16" s="21" t="s">
        <v>33</v>
      </c>
      <c r="H16" s="295"/>
      <c r="I16" s="296"/>
    </row>
    <row r="17" spans="1:9" ht="25.5" customHeight="1" x14ac:dyDescent="0.25">
      <c r="A17" s="298"/>
      <c r="B17" s="298"/>
      <c r="C17" s="298"/>
      <c r="D17" s="298"/>
      <c r="E17" s="25" t="s">
        <v>37</v>
      </c>
      <c r="F17" s="24"/>
      <c r="G17" s="21" t="s">
        <v>34</v>
      </c>
      <c r="H17" s="170">
        <v>8605015208</v>
      </c>
      <c r="I17" s="171"/>
    </row>
    <row r="18" spans="1:9" ht="23.25" customHeight="1" x14ac:dyDescent="0.25">
      <c r="A18" s="24"/>
      <c r="B18" s="24"/>
      <c r="C18" s="24"/>
      <c r="D18" s="23"/>
      <c r="E18" s="23"/>
      <c r="F18" s="24"/>
      <c r="G18" s="21" t="s">
        <v>35</v>
      </c>
      <c r="H18" s="170">
        <v>860501001</v>
      </c>
      <c r="I18" s="171"/>
    </row>
    <row r="19" spans="1:9" ht="27" customHeight="1" x14ac:dyDescent="0.25">
      <c r="A19" s="298" t="s">
        <v>36</v>
      </c>
      <c r="B19" s="298"/>
      <c r="C19" s="299" t="s">
        <v>285</v>
      </c>
      <c r="D19" s="299"/>
      <c r="E19" s="299"/>
      <c r="F19" s="24"/>
      <c r="G19" s="21" t="s">
        <v>21</v>
      </c>
      <c r="H19" s="170">
        <v>383</v>
      </c>
      <c r="I19" s="171"/>
    </row>
    <row r="20" spans="1:9" s="2" customFormat="1" ht="23.25" customHeight="1" x14ac:dyDescent="0.25">
      <c r="A20" s="3"/>
      <c r="B20" s="3"/>
      <c r="C20" s="3"/>
      <c r="D20" s="3"/>
      <c r="E20" s="3"/>
    </row>
    <row r="21" spans="1:9" x14ac:dyDescent="0.25">
      <c r="A21" s="297" t="s">
        <v>20</v>
      </c>
      <c r="B21" s="297"/>
      <c r="C21" s="297"/>
    </row>
  </sheetData>
  <mergeCells count="20">
    <mergeCell ref="A10:G10"/>
    <mergeCell ref="A11:G11"/>
    <mergeCell ref="H12:I12"/>
    <mergeCell ref="H15:I15"/>
    <mergeCell ref="F13:G13"/>
    <mergeCell ref="H13:I13"/>
    <mergeCell ref="H14:I14"/>
    <mergeCell ref="B13:E13"/>
    <mergeCell ref="F6:H6"/>
    <mergeCell ref="E1:H1"/>
    <mergeCell ref="E3:H3"/>
    <mergeCell ref="E2:H2"/>
    <mergeCell ref="E5:H5"/>
    <mergeCell ref="E4:H4"/>
    <mergeCell ref="H16:I16"/>
    <mergeCell ref="A21:C21"/>
    <mergeCell ref="A16:C17"/>
    <mergeCell ref="D16:D17"/>
    <mergeCell ref="A19:B19"/>
    <mergeCell ref="C19:E1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colBreaks count="1" manualBreakCount="1">
    <brk id="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opLeftCell="B1" workbookViewId="0">
      <selection activeCell="A4" sqref="A4:A5"/>
    </sheetView>
  </sheetViews>
  <sheetFormatPr defaultRowHeight="18.75" outlineLevelRow="1" outlineLevelCol="1" x14ac:dyDescent="0.25"/>
  <cols>
    <col min="1" max="1" width="65.5703125" style="10" customWidth="1"/>
    <col min="2" max="2" width="17" style="27" customWidth="1"/>
    <col min="3" max="3" width="18.85546875" style="10" customWidth="1"/>
    <col min="4" max="4" width="19.140625" style="59" customWidth="1"/>
    <col min="5" max="5" width="18.42578125" style="17" customWidth="1"/>
    <col min="6" max="6" width="20" style="82" customWidth="1" outlineLevel="1"/>
    <col min="7" max="7" width="19.7109375" style="87" customWidth="1" outlineLevel="1"/>
    <col min="8" max="8" width="22.85546875" style="93" customWidth="1" outlineLevel="1"/>
    <col min="9" max="9" width="24.28515625" style="17" customWidth="1"/>
    <col min="10" max="10" width="27.42578125" style="17" customWidth="1"/>
    <col min="11" max="11" width="31.140625" style="17" customWidth="1"/>
    <col min="12" max="12" width="28.7109375" style="10" customWidth="1"/>
    <col min="13" max="13" width="12.140625" style="10" bestFit="1" customWidth="1"/>
    <col min="14" max="16384" width="9.140625" style="10"/>
  </cols>
  <sheetData>
    <row r="2" spans="1:11" ht="42.75" customHeight="1" x14ac:dyDescent="0.25">
      <c r="A2" s="316" t="s">
        <v>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46.5" customHeight="1" x14ac:dyDescent="0.25">
      <c r="A3" s="76"/>
    </row>
    <row r="4" spans="1:11" ht="31.5" customHeight="1" x14ac:dyDescent="0.25">
      <c r="A4" s="318" t="s">
        <v>0</v>
      </c>
      <c r="B4" s="319" t="s">
        <v>1</v>
      </c>
      <c r="C4" s="318" t="s">
        <v>76</v>
      </c>
      <c r="D4" s="319" t="s">
        <v>77</v>
      </c>
      <c r="E4" s="320" t="s">
        <v>78</v>
      </c>
      <c r="F4" s="321"/>
      <c r="G4" s="321"/>
      <c r="H4" s="321"/>
      <c r="I4" s="321"/>
      <c r="J4" s="321"/>
      <c r="K4" s="322"/>
    </row>
    <row r="5" spans="1:11" ht="173.25" customHeight="1" x14ac:dyDescent="0.25">
      <c r="A5" s="318"/>
      <c r="B5" s="319"/>
      <c r="C5" s="318"/>
      <c r="D5" s="319"/>
      <c r="E5" s="16" t="s">
        <v>39</v>
      </c>
      <c r="F5" s="81" t="s">
        <v>154</v>
      </c>
      <c r="G5" s="88" t="s">
        <v>155</v>
      </c>
      <c r="H5" s="94" t="s">
        <v>156</v>
      </c>
      <c r="I5" s="16" t="s">
        <v>41</v>
      </c>
      <c r="J5" s="16" t="s">
        <v>40</v>
      </c>
      <c r="K5" s="16" t="s">
        <v>42</v>
      </c>
    </row>
    <row r="6" spans="1:11" ht="24" customHeight="1" x14ac:dyDescent="0.25">
      <c r="A6" s="79">
        <v>1</v>
      </c>
      <c r="B6" s="80">
        <v>2</v>
      </c>
      <c r="C6" s="79">
        <v>3</v>
      </c>
      <c r="D6" s="53">
        <v>4</v>
      </c>
      <c r="E6" s="60">
        <v>5</v>
      </c>
      <c r="F6" s="83"/>
      <c r="G6" s="89"/>
      <c r="H6" s="95"/>
      <c r="I6" s="60">
        <v>6</v>
      </c>
      <c r="J6" s="60">
        <v>7</v>
      </c>
      <c r="K6" s="60">
        <v>8</v>
      </c>
    </row>
    <row r="7" spans="1:11" ht="51.75" customHeight="1" x14ac:dyDescent="0.25">
      <c r="A7" s="79" t="s">
        <v>43</v>
      </c>
      <c r="B7" s="80" t="s">
        <v>45</v>
      </c>
      <c r="C7" s="79" t="s">
        <v>6</v>
      </c>
      <c r="D7" s="53" t="s">
        <v>6</v>
      </c>
      <c r="E7" s="16">
        <f>F7+G7+H7</f>
        <v>0</v>
      </c>
      <c r="F7" s="81"/>
      <c r="G7" s="88"/>
      <c r="H7" s="94"/>
      <c r="I7" s="16">
        <f t="shared" ref="I7:K7" si="0">I32-I9</f>
        <v>0</v>
      </c>
      <c r="J7" s="16">
        <f t="shared" si="0"/>
        <v>0</v>
      </c>
      <c r="K7" s="16">
        <f t="shared" si="0"/>
        <v>0</v>
      </c>
    </row>
    <row r="8" spans="1:11" ht="50.25" customHeight="1" x14ac:dyDescent="0.25">
      <c r="A8" s="79" t="s">
        <v>44</v>
      </c>
      <c r="B8" s="80" t="s">
        <v>46</v>
      </c>
      <c r="C8" s="79" t="s">
        <v>6</v>
      </c>
      <c r="D8" s="53" t="s">
        <v>6</v>
      </c>
      <c r="E8" s="16">
        <f>F8+G8+H8</f>
        <v>0</v>
      </c>
      <c r="F8" s="81"/>
      <c r="G8" s="88"/>
      <c r="H8" s="94"/>
      <c r="I8" s="16"/>
      <c r="J8" s="16"/>
      <c r="K8" s="16"/>
    </row>
    <row r="9" spans="1:11" ht="37.5" customHeight="1" x14ac:dyDescent="0.25">
      <c r="A9" s="29" t="s">
        <v>48</v>
      </c>
      <c r="B9" s="30" t="s">
        <v>49</v>
      </c>
      <c r="C9" s="31"/>
      <c r="D9" s="54"/>
      <c r="E9" s="32">
        <f>E11+E13+E17+E19+E21+E26</f>
        <v>0</v>
      </c>
      <c r="F9" s="32">
        <f t="shared" ref="F9:H9" si="1">F11+F13+F17+F19+F21+F26</f>
        <v>0</v>
      </c>
      <c r="G9" s="32">
        <f t="shared" si="1"/>
        <v>0</v>
      </c>
      <c r="H9" s="32">
        <f t="shared" si="1"/>
        <v>0</v>
      </c>
      <c r="I9" s="32">
        <f t="shared" ref="I9:K9" si="2">I11+I13+I17+I19+I21+I26</f>
        <v>0</v>
      </c>
      <c r="J9" s="32">
        <f t="shared" si="2"/>
        <v>0</v>
      </c>
      <c r="K9" s="32">
        <f t="shared" si="2"/>
        <v>0</v>
      </c>
    </row>
    <row r="10" spans="1:11" ht="19.5" customHeight="1" x14ac:dyDescent="0.25">
      <c r="A10" s="4" t="s">
        <v>23</v>
      </c>
      <c r="B10" s="80"/>
      <c r="C10" s="79"/>
      <c r="D10" s="53"/>
      <c r="E10" s="16"/>
      <c r="F10" s="81"/>
      <c r="G10" s="88"/>
      <c r="H10" s="94"/>
      <c r="I10" s="16"/>
      <c r="J10" s="16"/>
      <c r="K10" s="16"/>
    </row>
    <row r="11" spans="1:11" ht="48.75" customHeight="1" x14ac:dyDescent="0.25">
      <c r="A11" s="33" t="s">
        <v>50</v>
      </c>
      <c r="B11" s="34" t="s">
        <v>51</v>
      </c>
      <c r="C11" s="35">
        <v>120</v>
      </c>
      <c r="D11" s="55"/>
      <c r="E11" s="37">
        <f>F11+G11+H11</f>
        <v>0</v>
      </c>
      <c r="F11" s="85"/>
      <c r="G11" s="91"/>
      <c r="H11" s="97"/>
      <c r="I11" s="37"/>
      <c r="J11" s="37"/>
      <c r="K11" s="37"/>
    </row>
    <row r="12" spans="1:11" ht="36" customHeight="1" x14ac:dyDescent="0.25">
      <c r="A12" s="4" t="s">
        <v>23</v>
      </c>
      <c r="B12" s="80" t="s">
        <v>52</v>
      </c>
      <c r="C12" s="11"/>
      <c r="D12" s="53"/>
      <c r="E12" s="15"/>
      <c r="F12" s="85"/>
      <c r="G12" s="91"/>
      <c r="H12" s="97"/>
      <c r="I12" s="15"/>
      <c r="J12" s="15"/>
      <c r="K12" s="15"/>
    </row>
    <row r="13" spans="1:11" ht="52.5" customHeight="1" x14ac:dyDescent="0.25">
      <c r="A13" s="33" t="s">
        <v>53</v>
      </c>
      <c r="B13" s="34" t="s">
        <v>54</v>
      </c>
      <c r="C13" s="35">
        <v>130</v>
      </c>
      <c r="D13" s="55"/>
      <c r="E13" s="37">
        <f>E15+E16</f>
        <v>0</v>
      </c>
      <c r="F13" s="37">
        <f t="shared" ref="F13:H13" si="3">F15+F16</f>
        <v>0</v>
      </c>
      <c r="G13" s="37">
        <f t="shared" si="3"/>
        <v>0</v>
      </c>
      <c r="H13" s="37">
        <f t="shared" si="3"/>
        <v>0</v>
      </c>
      <c r="I13" s="37">
        <f t="shared" ref="I13:K13" si="4">I15+I16</f>
        <v>0</v>
      </c>
      <c r="J13" s="37">
        <f t="shared" si="4"/>
        <v>0</v>
      </c>
      <c r="K13" s="37">
        <f t="shared" si="4"/>
        <v>0</v>
      </c>
    </row>
    <row r="14" spans="1:11" ht="31.5" customHeight="1" x14ac:dyDescent="0.25">
      <c r="A14" s="4" t="s">
        <v>55</v>
      </c>
      <c r="B14" s="80"/>
      <c r="C14" s="11"/>
      <c r="D14" s="53"/>
      <c r="E14" s="15"/>
      <c r="F14" s="85"/>
      <c r="G14" s="91"/>
      <c r="H14" s="97"/>
      <c r="I14" s="15"/>
      <c r="J14" s="15"/>
      <c r="K14" s="15"/>
    </row>
    <row r="15" spans="1:11" ht="38.25" customHeight="1" x14ac:dyDescent="0.25">
      <c r="A15" s="47" t="s">
        <v>56</v>
      </c>
      <c r="B15" s="42" t="s">
        <v>58</v>
      </c>
      <c r="C15" s="43">
        <v>131</v>
      </c>
      <c r="D15" s="56"/>
      <c r="E15" s="44">
        <f>F15+G15+H15</f>
        <v>0</v>
      </c>
      <c r="F15" s="81"/>
      <c r="G15" s="88"/>
      <c r="H15" s="94"/>
      <c r="I15" s="45"/>
      <c r="J15" s="44"/>
      <c r="K15" s="44"/>
    </row>
    <row r="16" spans="1:11" ht="76.5" customHeight="1" x14ac:dyDescent="0.25">
      <c r="A16" s="47" t="s">
        <v>57</v>
      </c>
      <c r="B16" s="42" t="s">
        <v>59</v>
      </c>
      <c r="C16" s="43">
        <v>131</v>
      </c>
      <c r="D16" s="56"/>
      <c r="E16" s="44">
        <f>F16+G16+H16</f>
        <v>0</v>
      </c>
      <c r="F16" s="81"/>
      <c r="G16" s="88"/>
      <c r="H16" s="94"/>
      <c r="I16" s="45"/>
      <c r="J16" s="44"/>
      <c r="K16" s="44"/>
    </row>
    <row r="17" spans="1:11" ht="39" customHeight="1" x14ac:dyDescent="0.25">
      <c r="A17" s="38" t="s">
        <v>60</v>
      </c>
      <c r="B17" s="34" t="s">
        <v>61</v>
      </c>
      <c r="C17" s="35">
        <v>140</v>
      </c>
      <c r="D17" s="55"/>
      <c r="E17" s="40">
        <f>F17+G17+H17</f>
        <v>0</v>
      </c>
      <c r="F17" s="86"/>
      <c r="G17" s="92"/>
      <c r="H17" s="98"/>
      <c r="I17" s="40"/>
      <c r="J17" s="36"/>
      <c r="K17" s="36"/>
    </row>
    <row r="18" spans="1:11" ht="29.25" customHeight="1" x14ac:dyDescent="0.25">
      <c r="A18" s="13" t="s">
        <v>55</v>
      </c>
      <c r="B18" s="80" t="s">
        <v>63</v>
      </c>
      <c r="C18" s="11">
        <v>140</v>
      </c>
      <c r="D18" s="53"/>
      <c r="E18" s="39">
        <f>F18+G18+H18</f>
        <v>0</v>
      </c>
      <c r="F18" s="86"/>
      <c r="G18" s="92"/>
      <c r="H18" s="98"/>
      <c r="I18" s="39"/>
      <c r="J18" s="16"/>
      <c r="K18" s="16"/>
    </row>
    <row r="19" spans="1:11" ht="39" customHeight="1" x14ac:dyDescent="0.25">
      <c r="A19" s="38" t="s">
        <v>73</v>
      </c>
      <c r="B19" s="34" t="s">
        <v>64</v>
      </c>
      <c r="C19" s="35">
        <v>150</v>
      </c>
      <c r="D19" s="55"/>
      <c r="E19" s="40">
        <f>F19+G19+H19</f>
        <v>0</v>
      </c>
      <c r="F19" s="86"/>
      <c r="G19" s="92"/>
      <c r="H19" s="98"/>
      <c r="I19" s="40"/>
      <c r="J19" s="36"/>
      <c r="K19" s="36"/>
    </row>
    <row r="20" spans="1:11" ht="26.25" customHeight="1" x14ac:dyDescent="0.25">
      <c r="A20" s="13" t="s">
        <v>23</v>
      </c>
      <c r="B20" s="80"/>
      <c r="C20" s="11"/>
      <c r="D20" s="53"/>
      <c r="E20" s="39"/>
      <c r="F20" s="86"/>
      <c r="G20" s="92"/>
      <c r="H20" s="98"/>
      <c r="I20" s="39"/>
      <c r="J20" s="16"/>
      <c r="K20" s="16"/>
    </row>
    <row r="21" spans="1:11" ht="39" customHeight="1" x14ac:dyDescent="0.25">
      <c r="A21" s="38" t="s">
        <v>74</v>
      </c>
      <c r="B21" s="34" t="s">
        <v>65</v>
      </c>
      <c r="C21" s="35">
        <v>180</v>
      </c>
      <c r="D21" s="55"/>
      <c r="E21" s="41">
        <f>E23+E24</f>
        <v>0</v>
      </c>
      <c r="F21" s="41">
        <f t="shared" ref="F21:H21" si="5">F23+F24</f>
        <v>0</v>
      </c>
      <c r="G21" s="41">
        <f t="shared" si="5"/>
        <v>0</v>
      </c>
      <c r="H21" s="41">
        <f t="shared" si="5"/>
        <v>0</v>
      </c>
      <c r="I21" s="41">
        <f t="shared" ref="I21:K21" si="6">I23+I24</f>
        <v>0</v>
      </c>
      <c r="J21" s="41">
        <f t="shared" si="6"/>
        <v>0</v>
      </c>
      <c r="K21" s="41">
        <f t="shared" si="6"/>
        <v>0</v>
      </c>
    </row>
    <row r="22" spans="1:11" ht="22.5" customHeight="1" x14ac:dyDescent="0.25">
      <c r="A22" s="13" t="s">
        <v>55</v>
      </c>
      <c r="B22" s="80"/>
      <c r="C22" s="11"/>
      <c r="D22" s="53"/>
      <c r="E22" s="39"/>
      <c r="F22" s="86"/>
      <c r="G22" s="92"/>
      <c r="H22" s="98"/>
      <c r="I22" s="39"/>
      <c r="J22" s="16"/>
      <c r="K22" s="16"/>
    </row>
    <row r="23" spans="1:11" ht="33" customHeight="1" x14ac:dyDescent="0.25">
      <c r="A23" s="13" t="s">
        <v>62</v>
      </c>
      <c r="B23" s="80" t="s">
        <v>66</v>
      </c>
      <c r="C23" s="11">
        <v>180</v>
      </c>
      <c r="D23" s="53" t="s">
        <v>153</v>
      </c>
      <c r="E23" s="39">
        <f>F23+G23+H23</f>
        <v>0</v>
      </c>
      <c r="F23" s="86"/>
      <c r="G23" s="92"/>
      <c r="H23" s="98"/>
      <c r="I23" s="39"/>
      <c r="J23" s="16"/>
      <c r="K23" s="16"/>
    </row>
    <row r="24" spans="1:11" ht="31.5" customHeight="1" x14ac:dyDescent="0.25">
      <c r="A24" s="13" t="s">
        <v>3</v>
      </c>
      <c r="B24" s="80" t="s">
        <v>67</v>
      </c>
      <c r="C24" s="11">
        <v>180</v>
      </c>
      <c r="D24" s="53"/>
      <c r="E24" s="39">
        <f>F24+G24+H24</f>
        <v>0</v>
      </c>
      <c r="F24" s="86"/>
      <c r="G24" s="92"/>
      <c r="H24" s="98"/>
      <c r="I24" s="39"/>
      <c r="J24" s="16"/>
      <c r="K24" s="16"/>
    </row>
    <row r="25" spans="1:11" ht="20.25" customHeight="1" x14ac:dyDescent="0.25">
      <c r="A25" s="13"/>
      <c r="B25" s="80"/>
      <c r="C25" s="11"/>
      <c r="D25" s="53"/>
      <c r="E25" s="39"/>
      <c r="F25" s="86"/>
      <c r="G25" s="92"/>
      <c r="H25" s="98"/>
      <c r="I25" s="39"/>
      <c r="J25" s="16"/>
      <c r="K25" s="16"/>
    </row>
    <row r="26" spans="1:11" ht="39" customHeight="1" x14ac:dyDescent="0.25">
      <c r="A26" s="74" t="s">
        <v>75</v>
      </c>
      <c r="B26" s="80" t="s">
        <v>68</v>
      </c>
      <c r="C26" s="11"/>
      <c r="D26" s="53"/>
      <c r="E26" s="75">
        <f>E28+E29</f>
        <v>0</v>
      </c>
      <c r="F26" s="75">
        <f t="shared" ref="F26:H26" si="7">F28+F29</f>
        <v>0</v>
      </c>
      <c r="G26" s="75">
        <f t="shared" si="7"/>
        <v>0</v>
      </c>
      <c r="H26" s="75">
        <f t="shared" si="7"/>
        <v>0</v>
      </c>
      <c r="I26" s="75">
        <f t="shared" ref="I26:K26" si="8">I28+I29</f>
        <v>0</v>
      </c>
      <c r="J26" s="75">
        <f t="shared" si="8"/>
        <v>0</v>
      </c>
      <c r="K26" s="75">
        <f t="shared" si="8"/>
        <v>0</v>
      </c>
    </row>
    <row r="27" spans="1:11" ht="39" customHeight="1" x14ac:dyDescent="0.25">
      <c r="A27" s="13" t="s">
        <v>55</v>
      </c>
      <c r="B27" s="80"/>
      <c r="C27" s="11"/>
      <c r="D27" s="53"/>
      <c r="E27" s="39"/>
      <c r="F27" s="86"/>
      <c r="G27" s="92"/>
      <c r="H27" s="98"/>
      <c r="I27" s="39"/>
      <c r="J27" s="16"/>
      <c r="K27" s="16"/>
    </row>
    <row r="28" spans="1:11" ht="18" customHeight="1" x14ac:dyDescent="0.25">
      <c r="A28" s="13"/>
      <c r="B28" s="80"/>
      <c r="C28" s="11"/>
      <c r="D28" s="53"/>
      <c r="E28" s="39"/>
      <c r="F28" s="86"/>
      <c r="G28" s="92"/>
      <c r="H28" s="98"/>
      <c r="I28" s="39"/>
      <c r="J28" s="16"/>
      <c r="K28" s="16"/>
    </row>
    <row r="29" spans="1:11" ht="39" customHeight="1" x14ac:dyDescent="0.25">
      <c r="A29" s="74" t="s">
        <v>69</v>
      </c>
      <c r="B29" s="80" t="s">
        <v>71</v>
      </c>
      <c r="C29" s="11" t="s">
        <v>47</v>
      </c>
      <c r="D29" s="53"/>
      <c r="E29" s="39">
        <f>E31</f>
        <v>0</v>
      </c>
      <c r="F29" s="39">
        <f t="shared" ref="F29:H29" si="9">F31</f>
        <v>0</v>
      </c>
      <c r="G29" s="39">
        <f t="shared" si="9"/>
        <v>0</v>
      </c>
      <c r="H29" s="39">
        <f t="shared" si="9"/>
        <v>0</v>
      </c>
      <c r="I29" s="39">
        <f t="shared" ref="I29:K29" si="10">I31</f>
        <v>0</v>
      </c>
      <c r="J29" s="39">
        <f t="shared" si="10"/>
        <v>0</v>
      </c>
      <c r="K29" s="39">
        <f t="shared" si="10"/>
        <v>0</v>
      </c>
    </row>
    <row r="30" spans="1:11" ht="33" customHeight="1" x14ac:dyDescent="0.25">
      <c r="A30" s="46" t="s">
        <v>5</v>
      </c>
      <c r="B30" s="80"/>
      <c r="C30" s="11"/>
      <c r="D30" s="53"/>
      <c r="E30" s="39"/>
      <c r="F30" s="86"/>
      <c r="G30" s="92"/>
      <c r="H30" s="98"/>
      <c r="I30" s="39"/>
      <c r="J30" s="16"/>
      <c r="K30" s="16"/>
    </row>
    <row r="31" spans="1:11" ht="48.75" customHeight="1" x14ac:dyDescent="0.25">
      <c r="A31" s="13" t="s">
        <v>70</v>
      </c>
      <c r="B31" s="80" t="s">
        <v>72</v>
      </c>
      <c r="C31" s="11">
        <v>510</v>
      </c>
      <c r="D31" s="53"/>
      <c r="E31" s="39">
        <f>F31+G31+H31</f>
        <v>0</v>
      </c>
      <c r="F31" s="86"/>
      <c r="G31" s="92"/>
      <c r="H31" s="98"/>
      <c r="I31" s="39"/>
      <c r="J31" s="16"/>
      <c r="K31" s="16"/>
    </row>
    <row r="32" spans="1:11" ht="74.25" customHeight="1" x14ac:dyDescent="0.25">
      <c r="A32" s="48" t="s">
        <v>79</v>
      </c>
      <c r="B32" s="49" t="s">
        <v>80</v>
      </c>
      <c r="C32" s="50" t="s">
        <v>4</v>
      </c>
      <c r="D32" s="57"/>
      <c r="E32" s="51">
        <f>E35+E38+E44+E47+E51+E53+E57</f>
        <v>0</v>
      </c>
      <c r="F32" s="51">
        <f t="shared" ref="F32:H32" si="11">F35+F38+F44+F47+F51+F53+F57</f>
        <v>0</v>
      </c>
      <c r="G32" s="51">
        <f t="shared" si="11"/>
        <v>0</v>
      </c>
      <c r="H32" s="51">
        <f t="shared" si="11"/>
        <v>0</v>
      </c>
      <c r="I32" s="51">
        <f t="shared" ref="I32:K32" si="12">I35+I38+I44+I47+I51+I53+I57</f>
        <v>0</v>
      </c>
      <c r="J32" s="51">
        <f t="shared" si="12"/>
        <v>0</v>
      </c>
      <c r="K32" s="51">
        <f t="shared" si="12"/>
        <v>0</v>
      </c>
    </row>
    <row r="33" spans="1:11" ht="52.5" customHeight="1" x14ac:dyDescent="0.25">
      <c r="A33" s="52" t="s">
        <v>81</v>
      </c>
      <c r="B33" s="80" t="s">
        <v>82</v>
      </c>
      <c r="C33" s="12" t="s">
        <v>47</v>
      </c>
      <c r="D33" s="53"/>
      <c r="E33" s="16"/>
      <c r="F33" s="81"/>
      <c r="G33" s="88"/>
      <c r="H33" s="94"/>
      <c r="I33" s="16"/>
      <c r="J33" s="16"/>
      <c r="K33" s="16"/>
    </row>
    <row r="34" spans="1:11" ht="30.75" customHeight="1" x14ac:dyDescent="0.25">
      <c r="A34" s="52" t="s">
        <v>55</v>
      </c>
      <c r="B34" s="80"/>
      <c r="C34" s="12"/>
      <c r="D34" s="53"/>
      <c r="E34" s="16"/>
      <c r="F34" s="81"/>
      <c r="G34" s="88"/>
      <c r="H34" s="94"/>
      <c r="I34" s="16"/>
      <c r="J34" s="16"/>
      <c r="K34" s="16"/>
    </row>
    <row r="35" spans="1:11" s="66" customFormat="1" ht="46.5" customHeight="1" x14ac:dyDescent="0.25">
      <c r="A35" s="61" t="s">
        <v>7</v>
      </c>
      <c r="B35" s="62" t="s">
        <v>83</v>
      </c>
      <c r="C35" s="63">
        <v>111</v>
      </c>
      <c r="D35" s="64"/>
      <c r="E35" s="65">
        <f>E36+E37</f>
        <v>0</v>
      </c>
      <c r="F35" s="65">
        <f t="shared" ref="F35:H35" si="13">F36+F37</f>
        <v>0</v>
      </c>
      <c r="G35" s="65">
        <f t="shared" si="13"/>
        <v>0</v>
      </c>
      <c r="H35" s="65">
        <f t="shared" si="13"/>
        <v>0</v>
      </c>
      <c r="I35" s="65">
        <f t="shared" ref="I35:K35" si="14">I36+I37</f>
        <v>0</v>
      </c>
      <c r="J35" s="65">
        <f t="shared" si="14"/>
        <v>0</v>
      </c>
      <c r="K35" s="65">
        <f t="shared" si="14"/>
        <v>0</v>
      </c>
    </row>
    <row r="36" spans="1:11" ht="42.75" hidden="1" customHeight="1" outlineLevel="1" x14ac:dyDescent="0.25">
      <c r="A36" s="52"/>
      <c r="B36" s="80"/>
      <c r="C36" s="12">
        <v>111</v>
      </c>
      <c r="D36" s="53" t="s">
        <v>97</v>
      </c>
      <c r="E36" s="16">
        <f>F36+G36+H36</f>
        <v>0</v>
      </c>
      <c r="F36" s="81"/>
      <c r="G36" s="88"/>
      <c r="H36" s="94"/>
      <c r="I36" s="16"/>
      <c r="J36" s="16"/>
      <c r="K36" s="16"/>
    </row>
    <row r="37" spans="1:11" ht="43.5" hidden="1" customHeight="1" outlineLevel="1" x14ac:dyDescent="0.25">
      <c r="A37" s="52"/>
      <c r="B37" s="80"/>
      <c r="C37" s="12">
        <v>111</v>
      </c>
      <c r="D37" s="53" t="s">
        <v>96</v>
      </c>
      <c r="E37" s="16">
        <f>F37+G37+H37</f>
        <v>0</v>
      </c>
      <c r="F37" s="81"/>
      <c r="G37" s="88"/>
      <c r="H37" s="94"/>
      <c r="I37" s="16"/>
      <c r="J37" s="16"/>
      <c r="K37" s="16"/>
    </row>
    <row r="38" spans="1:11" s="66" customFormat="1" ht="70.5" customHeight="1" collapsed="1" x14ac:dyDescent="0.25">
      <c r="A38" s="61" t="s">
        <v>84</v>
      </c>
      <c r="B38" s="62" t="s">
        <v>85</v>
      </c>
      <c r="C38" s="63">
        <v>112</v>
      </c>
      <c r="D38" s="64"/>
      <c r="E38" s="65">
        <f>E39+E40+E41+E42+E43</f>
        <v>0</v>
      </c>
      <c r="F38" s="65">
        <f t="shared" ref="F38:H38" si="15">F39+F40+F41+F42+F43</f>
        <v>0</v>
      </c>
      <c r="G38" s="65">
        <f t="shared" si="15"/>
        <v>0</v>
      </c>
      <c r="H38" s="65">
        <f t="shared" si="15"/>
        <v>0</v>
      </c>
      <c r="I38" s="65">
        <f t="shared" ref="I38:K38" si="16">I39+I40+I41+I42+I43</f>
        <v>0</v>
      </c>
      <c r="J38" s="65">
        <f t="shared" si="16"/>
        <v>0</v>
      </c>
      <c r="K38" s="65">
        <f t="shared" si="16"/>
        <v>0</v>
      </c>
    </row>
    <row r="39" spans="1:11" ht="36" hidden="1" customHeight="1" outlineLevel="1" x14ac:dyDescent="0.25">
      <c r="A39" s="52"/>
      <c r="B39" s="80"/>
      <c r="C39" s="12">
        <v>112</v>
      </c>
      <c r="D39" s="53">
        <v>212</v>
      </c>
      <c r="E39" s="16">
        <f>F39+G39+H39</f>
        <v>0</v>
      </c>
      <c r="F39" s="81"/>
      <c r="G39" s="88"/>
      <c r="H39" s="94"/>
      <c r="I39" s="16"/>
      <c r="J39" s="16"/>
      <c r="K39" s="16"/>
    </row>
    <row r="40" spans="1:11" ht="39.75" hidden="1" customHeight="1" outlineLevel="1" x14ac:dyDescent="0.25">
      <c r="A40" s="52"/>
      <c r="B40" s="80"/>
      <c r="C40" s="12">
        <v>112</v>
      </c>
      <c r="D40" s="53" t="s">
        <v>95</v>
      </c>
      <c r="E40" s="16">
        <f t="shared" ref="E40:E43" si="17">F40+G40+H40</f>
        <v>0</v>
      </c>
      <c r="F40" s="81"/>
      <c r="G40" s="88"/>
      <c r="H40" s="94"/>
      <c r="I40" s="16"/>
      <c r="J40" s="16"/>
      <c r="K40" s="16"/>
    </row>
    <row r="41" spans="1:11" ht="33" hidden="1" customHeight="1" outlineLevel="1" x14ac:dyDescent="0.25">
      <c r="A41" s="52"/>
      <c r="B41" s="80"/>
      <c r="C41" s="12">
        <v>112</v>
      </c>
      <c r="D41" s="53" t="s">
        <v>94</v>
      </c>
      <c r="E41" s="16">
        <f t="shared" si="17"/>
        <v>0</v>
      </c>
      <c r="F41" s="81"/>
      <c r="G41" s="88"/>
      <c r="H41" s="94"/>
      <c r="I41" s="16"/>
      <c r="J41" s="16"/>
      <c r="K41" s="16"/>
    </row>
    <row r="42" spans="1:11" ht="34.5" hidden="1" customHeight="1" outlineLevel="1" x14ac:dyDescent="0.25">
      <c r="A42" s="52"/>
      <c r="B42" s="80"/>
      <c r="C42" s="12">
        <v>112</v>
      </c>
      <c r="D42" s="53">
        <v>226</v>
      </c>
      <c r="E42" s="16">
        <f t="shared" si="17"/>
        <v>0</v>
      </c>
      <c r="F42" s="81"/>
      <c r="G42" s="88"/>
      <c r="H42" s="94"/>
      <c r="I42" s="16"/>
      <c r="J42" s="16"/>
      <c r="K42" s="16"/>
    </row>
    <row r="43" spans="1:11" ht="34.5" hidden="1" customHeight="1" outlineLevel="1" x14ac:dyDescent="0.25">
      <c r="A43" s="52"/>
      <c r="B43" s="80"/>
      <c r="C43" s="12">
        <v>112</v>
      </c>
      <c r="D43" s="53" t="s">
        <v>96</v>
      </c>
      <c r="E43" s="16">
        <f t="shared" si="17"/>
        <v>0</v>
      </c>
      <c r="F43" s="81"/>
      <c r="G43" s="88"/>
      <c r="H43" s="94"/>
      <c r="I43" s="16"/>
      <c r="J43" s="16"/>
      <c r="K43" s="16"/>
    </row>
    <row r="44" spans="1:11" s="66" customFormat="1" ht="81.75" customHeight="1" collapsed="1" x14ac:dyDescent="0.25">
      <c r="A44" s="61" t="s">
        <v>86</v>
      </c>
      <c r="B44" s="62" t="s">
        <v>87</v>
      </c>
      <c r="C44" s="63">
        <v>113</v>
      </c>
      <c r="D44" s="64"/>
      <c r="E44" s="65">
        <f>E45+E46</f>
        <v>0</v>
      </c>
      <c r="F44" s="65">
        <f t="shared" ref="F44:H44" si="18">F45+F46</f>
        <v>0</v>
      </c>
      <c r="G44" s="65">
        <f t="shared" si="18"/>
        <v>0</v>
      </c>
      <c r="H44" s="65">
        <f t="shared" si="18"/>
        <v>0</v>
      </c>
      <c r="I44" s="65">
        <f t="shared" ref="I44:K44" si="19">I45+I46</f>
        <v>0</v>
      </c>
      <c r="J44" s="65">
        <f t="shared" si="19"/>
        <v>0</v>
      </c>
      <c r="K44" s="65">
        <f t="shared" si="19"/>
        <v>0</v>
      </c>
    </row>
    <row r="45" spans="1:11" ht="44.25" hidden="1" customHeight="1" outlineLevel="1" x14ac:dyDescent="0.25">
      <c r="A45" s="52"/>
      <c r="B45" s="80"/>
      <c r="C45" s="12">
        <v>113</v>
      </c>
      <c r="D45" s="53" t="s">
        <v>98</v>
      </c>
      <c r="E45" s="16">
        <f>F45+G45+H45</f>
        <v>0</v>
      </c>
      <c r="F45" s="81"/>
      <c r="G45" s="88"/>
      <c r="H45" s="94"/>
      <c r="I45" s="16"/>
      <c r="J45" s="16"/>
      <c r="K45" s="16"/>
    </row>
    <row r="46" spans="1:11" ht="44.25" hidden="1" customHeight="1" outlineLevel="1" x14ac:dyDescent="0.25">
      <c r="A46" s="52"/>
      <c r="B46" s="80"/>
      <c r="C46" s="12">
        <v>113</v>
      </c>
      <c r="D46" s="53" t="s">
        <v>99</v>
      </c>
      <c r="E46" s="16">
        <f>F46+G46+H46</f>
        <v>0</v>
      </c>
      <c r="F46" s="81"/>
      <c r="G46" s="88"/>
      <c r="H46" s="94"/>
      <c r="I46" s="16"/>
      <c r="J46" s="16"/>
      <c r="K46" s="16"/>
    </row>
    <row r="47" spans="1:11" s="66" customFormat="1" ht="93" customHeight="1" collapsed="1" x14ac:dyDescent="0.25">
      <c r="A47" s="61" t="s">
        <v>88</v>
      </c>
      <c r="B47" s="62" t="s">
        <v>89</v>
      </c>
      <c r="C47" s="63">
        <v>119</v>
      </c>
      <c r="D47" s="64"/>
      <c r="E47" s="65">
        <f>E49+E50</f>
        <v>0</v>
      </c>
      <c r="F47" s="65">
        <f t="shared" ref="F47:H47" si="20">F49+F50</f>
        <v>0</v>
      </c>
      <c r="G47" s="65">
        <f t="shared" si="20"/>
        <v>0</v>
      </c>
      <c r="H47" s="65">
        <f t="shared" si="20"/>
        <v>0</v>
      </c>
      <c r="I47" s="65">
        <f t="shared" ref="I47:K47" si="21">I49+I50</f>
        <v>0</v>
      </c>
      <c r="J47" s="65">
        <f t="shared" si="21"/>
        <v>0</v>
      </c>
      <c r="K47" s="65">
        <f t="shared" si="21"/>
        <v>0</v>
      </c>
    </row>
    <row r="48" spans="1:11" ht="25.5" customHeight="1" x14ac:dyDescent="0.25">
      <c r="A48" s="52" t="s">
        <v>2</v>
      </c>
      <c r="B48" s="80"/>
      <c r="C48" s="12"/>
      <c r="D48" s="53"/>
      <c r="E48" s="16"/>
      <c r="F48" s="81"/>
      <c r="G48" s="88"/>
      <c r="H48" s="94"/>
      <c r="I48" s="16"/>
      <c r="J48" s="16"/>
      <c r="K48" s="16"/>
    </row>
    <row r="49" spans="1:11" ht="44.25" customHeight="1" x14ac:dyDescent="0.25">
      <c r="A49" s="52" t="s">
        <v>91</v>
      </c>
      <c r="B49" s="80" t="s">
        <v>92</v>
      </c>
      <c r="C49" s="12">
        <v>119</v>
      </c>
      <c r="D49" s="53" t="s">
        <v>100</v>
      </c>
      <c r="E49" s="16">
        <f>F49+G49+H49</f>
        <v>0</v>
      </c>
      <c r="F49" s="81"/>
      <c r="G49" s="88"/>
      <c r="H49" s="94"/>
      <c r="I49" s="16"/>
      <c r="J49" s="16"/>
      <c r="K49" s="16"/>
    </row>
    <row r="50" spans="1:11" ht="40.5" customHeight="1" x14ac:dyDescent="0.25">
      <c r="A50" s="52" t="s">
        <v>90</v>
      </c>
      <c r="B50" s="80" t="s">
        <v>93</v>
      </c>
      <c r="C50" s="12">
        <v>119</v>
      </c>
      <c r="D50" s="53"/>
      <c r="E50" s="16">
        <f>F50+G50+H50</f>
        <v>0</v>
      </c>
      <c r="F50" s="81"/>
      <c r="G50" s="88"/>
      <c r="H50" s="94"/>
      <c r="I50" s="16"/>
      <c r="J50" s="16"/>
      <c r="K50" s="16"/>
    </row>
    <row r="51" spans="1:11" ht="63" customHeight="1" x14ac:dyDescent="0.25">
      <c r="A51" s="61" t="s">
        <v>101</v>
      </c>
      <c r="B51" s="68" t="s">
        <v>102</v>
      </c>
      <c r="C51" s="63">
        <v>300</v>
      </c>
      <c r="D51" s="64"/>
      <c r="E51" s="65">
        <f>E52</f>
        <v>0</v>
      </c>
      <c r="F51" s="65">
        <f t="shared" ref="F51:H51" si="22">F52</f>
        <v>0</v>
      </c>
      <c r="G51" s="65">
        <f t="shared" si="22"/>
        <v>0</v>
      </c>
      <c r="H51" s="65">
        <f t="shared" si="22"/>
        <v>0</v>
      </c>
      <c r="I51" s="65">
        <f t="shared" ref="I51:K51" si="23">I52</f>
        <v>0</v>
      </c>
      <c r="J51" s="65">
        <f t="shared" si="23"/>
        <v>0</v>
      </c>
      <c r="K51" s="65">
        <f t="shared" si="23"/>
        <v>0</v>
      </c>
    </row>
    <row r="52" spans="1:11" ht="81.75" customHeight="1" x14ac:dyDescent="0.25">
      <c r="A52" s="52" t="s">
        <v>103</v>
      </c>
      <c r="B52" s="80" t="s">
        <v>104</v>
      </c>
      <c r="C52" s="12">
        <v>321</v>
      </c>
      <c r="D52" s="53" t="s">
        <v>105</v>
      </c>
      <c r="E52" s="16">
        <f>F52+G52+H52</f>
        <v>0</v>
      </c>
      <c r="F52" s="81"/>
      <c r="G52" s="88"/>
      <c r="H52" s="94"/>
      <c r="I52" s="16"/>
      <c r="J52" s="16"/>
      <c r="K52" s="16"/>
    </row>
    <row r="53" spans="1:11" ht="119.25" customHeight="1" x14ac:dyDescent="0.25">
      <c r="A53" s="67" t="s">
        <v>106</v>
      </c>
      <c r="B53" s="62" t="s">
        <v>107</v>
      </c>
      <c r="C53" s="63">
        <v>850</v>
      </c>
      <c r="D53" s="64"/>
      <c r="E53" s="65">
        <f>E54+E55+E56</f>
        <v>0</v>
      </c>
      <c r="F53" s="65">
        <f t="shared" ref="F53:H53" si="24">F54+F55+F56</f>
        <v>0</v>
      </c>
      <c r="G53" s="65">
        <f t="shared" si="24"/>
        <v>0</v>
      </c>
      <c r="H53" s="65">
        <f t="shared" si="24"/>
        <v>0</v>
      </c>
      <c r="I53" s="65">
        <f t="shared" ref="I53:K53" si="25">I54+I55+I56</f>
        <v>0</v>
      </c>
      <c r="J53" s="65">
        <f t="shared" si="25"/>
        <v>0</v>
      </c>
      <c r="K53" s="65">
        <f t="shared" si="25"/>
        <v>0</v>
      </c>
    </row>
    <row r="54" spans="1:11" ht="63" customHeight="1" x14ac:dyDescent="0.25">
      <c r="A54" s="52" t="s">
        <v>108</v>
      </c>
      <c r="B54" s="80" t="s">
        <v>109</v>
      </c>
      <c r="C54" s="12">
        <v>851</v>
      </c>
      <c r="D54" s="53" t="s">
        <v>114</v>
      </c>
      <c r="E54" s="16">
        <f>F54+G54+H54</f>
        <v>0</v>
      </c>
      <c r="F54" s="81"/>
      <c r="G54" s="88"/>
      <c r="H54" s="94"/>
      <c r="I54" s="16"/>
      <c r="J54" s="16"/>
      <c r="K54" s="16"/>
    </row>
    <row r="55" spans="1:11" ht="68.25" customHeight="1" x14ac:dyDescent="0.25">
      <c r="A55" s="52" t="s">
        <v>110</v>
      </c>
      <c r="B55" s="80" t="s">
        <v>111</v>
      </c>
      <c r="C55" s="12">
        <v>852</v>
      </c>
      <c r="D55" s="53" t="s">
        <v>114</v>
      </c>
      <c r="E55" s="16">
        <f t="shared" ref="E55:E56" si="26">F55+G55+H55</f>
        <v>0</v>
      </c>
      <c r="F55" s="81"/>
      <c r="G55" s="88"/>
      <c r="H55" s="94"/>
      <c r="I55" s="16"/>
      <c r="J55" s="16"/>
      <c r="K55" s="16"/>
    </row>
    <row r="56" spans="1:11" ht="37.5" customHeight="1" x14ac:dyDescent="0.25">
      <c r="A56" s="52" t="s">
        <v>112</v>
      </c>
      <c r="B56" s="80" t="s">
        <v>113</v>
      </c>
      <c r="C56" s="12">
        <v>853</v>
      </c>
      <c r="D56" s="53"/>
      <c r="E56" s="16">
        <f t="shared" si="26"/>
        <v>0</v>
      </c>
      <c r="F56" s="81"/>
      <c r="G56" s="88"/>
      <c r="H56" s="94"/>
      <c r="I56" s="16"/>
      <c r="J56" s="16"/>
      <c r="K56" s="16"/>
    </row>
    <row r="57" spans="1:11" ht="60" customHeight="1" x14ac:dyDescent="0.25">
      <c r="A57" s="61" t="s">
        <v>24</v>
      </c>
      <c r="B57" s="62" t="s">
        <v>116</v>
      </c>
      <c r="C57" s="63" t="s">
        <v>47</v>
      </c>
      <c r="D57" s="64"/>
      <c r="E57" s="65">
        <f>E58</f>
        <v>0</v>
      </c>
      <c r="F57" s="65">
        <f t="shared" ref="F57:H57" si="27">F58</f>
        <v>0</v>
      </c>
      <c r="G57" s="65">
        <f t="shared" si="27"/>
        <v>0</v>
      </c>
      <c r="H57" s="65">
        <f t="shared" si="27"/>
        <v>0</v>
      </c>
      <c r="I57" s="65">
        <f t="shared" ref="I57:K57" si="28">I58</f>
        <v>0</v>
      </c>
      <c r="J57" s="65">
        <f t="shared" si="28"/>
        <v>0</v>
      </c>
      <c r="K57" s="65">
        <f t="shared" si="28"/>
        <v>0</v>
      </c>
    </row>
    <row r="58" spans="1:11" ht="69" customHeight="1" x14ac:dyDescent="0.25">
      <c r="A58" s="61" t="s">
        <v>117</v>
      </c>
      <c r="B58" s="62" t="s">
        <v>115</v>
      </c>
      <c r="C58" s="63">
        <v>244</v>
      </c>
      <c r="D58" s="64"/>
      <c r="E58" s="65">
        <f>E60+E61+E62+E63+E64+E65+E66+E67+E68+E69+E70+E71+E72+E73+E74</f>
        <v>0</v>
      </c>
      <c r="F58" s="65">
        <f t="shared" ref="F58:H58" si="29">F60+F61+F62+F63+F64+F65+F66+F67+F68+F69+F70+F71+F72+F73+F74</f>
        <v>0</v>
      </c>
      <c r="G58" s="65">
        <f t="shared" si="29"/>
        <v>0</v>
      </c>
      <c r="H58" s="65">
        <f t="shared" si="29"/>
        <v>0</v>
      </c>
      <c r="I58" s="65">
        <f>I60+I61+I62+I63+I64+I65+I66+I67+I68+I69+I70+I71+I72+I73+I74</f>
        <v>0</v>
      </c>
      <c r="J58" s="65">
        <f>J60+J61+J62+J63+J64+J65+J66+J67+J68+J69+J70+J71+J72+J73+J74</f>
        <v>0</v>
      </c>
      <c r="K58" s="65">
        <f>K60+K61+K62+K63+K64+K65+K66+K67+K68+K69+K70+K71+K72+K73+K74</f>
        <v>0</v>
      </c>
    </row>
    <row r="59" spans="1:11" ht="45.75" customHeight="1" x14ac:dyDescent="0.25">
      <c r="A59" s="52" t="s">
        <v>131</v>
      </c>
      <c r="B59" s="28"/>
      <c r="C59" s="11"/>
      <c r="D59" s="58"/>
      <c r="E59" s="14"/>
      <c r="F59" s="84"/>
      <c r="G59" s="90"/>
      <c r="H59" s="96"/>
      <c r="I59" s="14"/>
      <c r="J59" s="14"/>
      <c r="K59" s="14"/>
    </row>
    <row r="60" spans="1:11" ht="32.25" hidden="1" customHeight="1" outlineLevel="1" x14ac:dyDescent="0.25">
      <c r="A60" s="4" t="s">
        <v>8</v>
      </c>
      <c r="B60" s="80"/>
      <c r="C60" s="12">
        <v>244</v>
      </c>
      <c r="D60" s="53" t="s">
        <v>118</v>
      </c>
      <c r="E60" s="16">
        <f>F60+G60+H60</f>
        <v>0</v>
      </c>
      <c r="F60" s="81"/>
      <c r="G60" s="88"/>
      <c r="H60" s="94"/>
      <c r="I60" s="16"/>
      <c r="J60" s="16"/>
      <c r="K60" s="16"/>
    </row>
    <row r="61" spans="1:11" ht="37.5" hidden="1" customHeight="1" outlineLevel="1" x14ac:dyDescent="0.25">
      <c r="A61" s="4" t="s">
        <v>9</v>
      </c>
      <c r="B61" s="80"/>
      <c r="C61" s="12">
        <v>244</v>
      </c>
      <c r="D61" s="53" t="s">
        <v>94</v>
      </c>
      <c r="E61" s="16">
        <f t="shared" ref="E61:E77" si="30">F61+G61+H61</f>
        <v>0</v>
      </c>
      <c r="F61" s="81"/>
      <c r="G61" s="88"/>
      <c r="H61" s="94"/>
      <c r="I61" s="16"/>
      <c r="J61" s="16"/>
      <c r="K61" s="16"/>
    </row>
    <row r="62" spans="1:11" ht="41.25" hidden="1" customHeight="1" outlineLevel="1" x14ac:dyDescent="0.25">
      <c r="A62" s="4" t="s">
        <v>10</v>
      </c>
      <c r="B62" s="80"/>
      <c r="C62" s="12">
        <v>244</v>
      </c>
      <c r="D62" s="53" t="s">
        <v>119</v>
      </c>
      <c r="E62" s="16">
        <f t="shared" si="30"/>
        <v>0</v>
      </c>
      <c r="F62" s="81"/>
      <c r="G62" s="88"/>
      <c r="H62" s="94"/>
      <c r="I62" s="16"/>
      <c r="J62" s="16"/>
      <c r="K62" s="16"/>
    </row>
    <row r="63" spans="1:11" ht="38.25" hidden="1" customHeight="1" outlineLevel="1" x14ac:dyDescent="0.25">
      <c r="A63" s="4" t="s">
        <v>22</v>
      </c>
      <c r="B63" s="80"/>
      <c r="C63" s="12">
        <v>244</v>
      </c>
      <c r="D63" s="53" t="s">
        <v>120</v>
      </c>
      <c r="E63" s="16">
        <f t="shared" si="30"/>
        <v>0</v>
      </c>
      <c r="F63" s="81"/>
      <c r="G63" s="88"/>
      <c r="H63" s="94"/>
      <c r="I63" s="16"/>
      <c r="J63" s="16"/>
      <c r="K63" s="16"/>
    </row>
    <row r="64" spans="1:11" ht="42" hidden="1" customHeight="1" outlineLevel="1" x14ac:dyDescent="0.25">
      <c r="A64" s="4" t="s">
        <v>11</v>
      </c>
      <c r="B64" s="80"/>
      <c r="C64" s="12">
        <v>244</v>
      </c>
      <c r="D64" s="53" t="s">
        <v>121</v>
      </c>
      <c r="E64" s="16">
        <f t="shared" si="30"/>
        <v>0</v>
      </c>
      <c r="F64" s="81"/>
      <c r="G64" s="88"/>
      <c r="H64" s="94"/>
      <c r="I64" s="16"/>
      <c r="J64" s="16"/>
      <c r="K64" s="16"/>
    </row>
    <row r="65" spans="1:11" ht="36" hidden="1" customHeight="1" outlineLevel="1" x14ac:dyDescent="0.25">
      <c r="A65" s="4" t="s">
        <v>12</v>
      </c>
      <c r="B65" s="80"/>
      <c r="C65" s="12">
        <v>244</v>
      </c>
      <c r="D65" s="53" t="s">
        <v>99</v>
      </c>
      <c r="E65" s="16">
        <f t="shared" si="30"/>
        <v>0</v>
      </c>
      <c r="F65" s="81"/>
      <c r="G65" s="88"/>
      <c r="H65" s="94"/>
      <c r="I65" s="16"/>
      <c r="J65" s="16"/>
      <c r="K65" s="16"/>
    </row>
    <row r="66" spans="1:11" ht="36" hidden="1" customHeight="1" outlineLevel="1" x14ac:dyDescent="0.25">
      <c r="A66" s="4" t="s">
        <v>30</v>
      </c>
      <c r="B66" s="80"/>
      <c r="C66" s="12">
        <v>244</v>
      </c>
      <c r="D66" s="53" t="s">
        <v>122</v>
      </c>
      <c r="E66" s="16">
        <f t="shared" si="30"/>
        <v>0</v>
      </c>
      <c r="F66" s="81"/>
      <c r="G66" s="88"/>
      <c r="H66" s="94"/>
      <c r="I66" s="16"/>
      <c r="J66" s="16"/>
      <c r="K66" s="16"/>
    </row>
    <row r="67" spans="1:11" ht="37.5" hidden="1" customHeight="1" outlineLevel="1" x14ac:dyDescent="0.25">
      <c r="A67" s="4" t="s">
        <v>31</v>
      </c>
      <c r="B67" s="80"/>
      <c r="C67" s="12">
        <v>244</v>
      </c>
      <c r="D67" s="53" t="s">
        <v>123</v>
      </c>
      <c r="E67" s="16">
        <f t="shared" si="30"/>
        <v>0</v>
      </c>
      <c r="F67" s="81"/>
      <c r="G67" s="88"/>
      <c r="H67" s="94"/>
      <c r="I67" s="16"/>
      <c r="J67" s="16"/>
      <c r="K67" s="16"/>
    </row>
    <row r="68" spans="1:11" ht="57.75" hidden="1" customHeight="1" outlineLevel="1" x14ac:dyDescent="0.25">
      <c r="A68" s="4" t="s">
        <v>13</v>
      </c>
      <c r="B68" s="80"/>
      <c r="C68" s="12">
        <v>244</v>
      </c>
      <c r="D68" s="58" t="s">
        <v>124</v>
      </c>
      <c r="E68" s="16">
        <f t="shared" si="30"/>
        <v>0</v>
      </c>
      <c r="F68" s="84"/>
      <c r="G68" s="90"/>
      <c r="H68" s="96"/>
      <c r="I68" s="14"/>
      <c r="J68" s="14"/>
      <c r="K68" s="14"/>
    </row>
    <row r="69" spans="1:11" ht="57.75" hidden="1" customHeight="1" outlineLevel="1" x14ac:dyDescent="0.25">
      <c r="A69" s="4" t="s">
        <v>32</v>
      </c>
      <c r="B69" s="80"/>
      <c r="C69" s="12">
        <v>244</v>
      </c>
      <c r="D69" s="53" t="s">
        <v>125</v>
      </c>
      <c r="E69" s="16">
        <f t="shared" si="30"/>
        <v>0</v>
      </c>
      <c r="F69" s="81"/>
      <c r="G69" s="88"/>
      <c r="H69" s="94"/>
      <c r="I69" s="16"/>
      <c r="J69" s="16"/>
      <c r="K69" s="16"/>
    </row>
    <row r="70" spans="1:11" ht="54" hidden="1" customHeight="1" outlineLevel="1" x14ac:dyDescent="0.25">
      <c r="A70" s="4" t="s">
        <v>25</v>
      </c>
      <c r="B70" s="80"/>
      <c r="C70" s="12">
        <v>244</v>
      </c>
      <c r="D70" s="53" t="s">
        <v>126</v>
      </c>
      <c r="E70" s="16">
        <f t="shared" si="30"/>
        <v>0</v>
      </c>
      <c r="F70" s="81"/>
      <c r="G70" s="88"/>
      <c r="H70" s="94"/>
      <c r="I70" s="16"/>
      <c r="J70" s="16"/>
      <c r="K70" s="16"/>
    </row>
    <row r="71" spans="1:11" ht="40.5" hidden="1" customHeight="1" outlineLevel="1" x14ac:dyDescent="0.25">
      <c r="A71" s="4" t="s">
        <v>26</v>
      </c>
      <c r="B71" s="80"/>
      <c r="C71" s="12">
        <v>244</v>
      </c>
      <c r="D71" s="53" t="s">
        <v>127</v>
      </c>
      <c r="E71" s="16">
        <f t="shared" si="30"/>
        <v>0</v>
      </c>
      <c r="F71" s="81"/>
      <c r="G71" s="88"/>
      <c r="H71" s="94"/>
      <c r="I71" s="16"/>
      <c r="J71" s="16"/>
      <c r="K71" s="16"/>
    </row>
    <row r="72" spans="1:11" ht="37.5" hidden="1" customHeight="1" outlineLevel="1" x14ac:dyDescent="0.25">
      <c r="A72" s="4" t="s">
        <v>27</v>
      </c>
      <c r="B72" s="80"/>
      <c r="C72" s="12">
        <v>244</v>
      </c>
      <c r="D72" s="53" t="s">
        <v>128</v>
      </c>
      <c r="E72" s="16">
        <f t="shared" si="30"/>
        <v>0</v>
      </c>
      <c r="F72" s="81"/>
      <c r="G72" s="88"/>
      <c r="H72" s="94"/>
      <c r="I72" s="16"/>
      <c r="J72" s="16"/>
      <c r="K72" s="16"/>
    </row>
    <row r="73" spans="1:11" ht="40.5" hidden="1" customHeight="1" outlineLevel="1" x14ac:dyDescent="0.25">
      <c r="A73" s="4" t="s">
        <v>28</v>
      </c>
      <c r="B73" s="80"/>
      <c r="C73" s="12">
        <v>244</v>
      </c>
      <c r="D73" s="53" t="s">
        <v>129</v>
      </c>
      <c r="E73" s="16">
        <f t="shared" si="30"/>
        <v>0</v>
      </c>
      <c r="F73" s="81"/>
      <c r="G73" s="88"/>
      <c r="H73" s="94"/>
      <c r="I73" s="16"/>
      <c r="J73" s="16"/>
      <c r="K73" s="16"/>
    </row>
    <row r="74" spans="1:11" ht="99" hidden="1" customHeight="1" outlineLevel="1" x14ac:dyDescent="0.25">
      <c r="A74" s="4" t="s">
        <v>29</v>
      </c>
      <c r="B74" s="80"/>
      <c r="C74" s="12">
        <v>244</v>
      </c>
      <c r="D74" s="53" t="s">
        <v>130</v>
      </c>
      <c r="E74" s="16">
        <f t="shared" si="30"/>
        <v>0</v>
      </c>
      <c r="F74" s="81"/>
      <c r="G74" s="88"/>
      <c r="H74" s="94"/>
      <c r="I74" s="16"/>
      <c r="J74" s="16"/>
      <c r="K74" s="16"/>
    </row>
    <row r="75" spans="1:11" ht="53.25" customHeight="1" collapsed="1" x14ac:dyDescent="0.25">
      <c r="A75" s="4" t="s">
        <v>132</v>
      </c>
      <c r="B75" s="80" t="s">
        <v>133</v>
      </c>
      <c r="C75" s="12">
        <v>400</v>
      </c>
      <c r="D75" s="53"/>
      <c r="E75" s="16">
        <f t="shared" si="30"/>
        <v>0</v>
      </c>
      <c r="F75" s="81"/>
      <c r="G75" s="88"/>
      <c r="H75" s="94"/>
      <c r="I75" s="16"/>
      <c r="J75" s="16"/>
      <c r="K75" s="16"/>
    </row>
    <row r="76" spans="1:11" ht="38.25" customHeight="1" x14ac:dyDescent="0.25">
      <c r="A76" s="4" t="s">
        <v>135</v>
      </c>
      <c r="B76" s="80" t="s">
        <v>134</v>
      </c>
      <c r="C76" s="12">
        <v>406</v>
      </c>
      <c r="D76" s="53"/>
      <c r="E76" s="16">
        <f t="shared" si="30"/>
        <v>0</v>
      </c>
      <c r="F76" s="81"/>
      <c r="G76" s="88"/>
      <c r="H76" s="94"/>
      <c r="I76" s="16"/>
      <c r="J76" s="16"/>
      <c r="K76" s="16"/>
    </row>
    <row r="77" spans="1:11" ht="30.75" customHeight="1" x14ac:dyDescent="0.25">
      <c r="A77" s="4" t="s">
        <v>136</v>
      </c>
      <c r="B77" s="80" t="s">
        <v>137</v>
      </c>
      <c r="C77" s="12">
        <v>407</v>
      </c>
      <c r="D77" s="53"/>
      <c r="E77" s="16">
        <f t="shared" si="30"/>
        <v>0</v>
      </c>
      <c r="F77" s="81"/>
      <c r="G77" s="88"/>
      <c r="H77" s="94"/>
      <c r="I77" s="16"/>
      <c r="J77" s="16"/>
      <c r="K77" s="16"/>
    </row>
    <row r="78" spans="1:11" ht="69.75" customHeight="1" x14ac:dyDescent="0.25">
      <c r="A78" s="69" t="s">
        <v>138</v>
      </c>
      <c r="B78" s="70" t="s">
        <v>139</v>
      </c>
      <c r="C78" s="71">
        <v>100</v>
      </c>
      <c r="D78" s="72"/>
      <c r="E78" s="73">
        <f>E79+E80+E81</f>
        <v>0</v>
      </c>
      <c r="F78" s="73">
        <f t="shared" ref="F78:H78" si="31">F79+F80+F81</f>
        <v>0</v>
      </c>
      <c r="G78" s="73">
        <f t="shared" si="31"/>
        <v>0</v>
      </c>
      <c r="H78" s="73">
        <f t="shared" si="31"/>
        <v>0</v>
      </c>
      <c r="I78" s="73"/>
      <c r="J78" s="73"/>
      <c r="K78" s="73"/>
    </row>
    <row r="79" spans="1:11" ht="48.75" customHeight="1" x14ac:dyDescent="0.25">
      <c r="A79" s="4" t="s">
        <v>140</v>
      </c>
      <c r="B79" s="80" t="s">
        <v>143</v>
      </c>
      <c r="C79" s="12"/>
      <c r="D79" s="53"/>
      <c r="E79" s="16">
        <f>F79+G79+H79</f>
        <v>0</v>
      </c>
      <c r="F79" s="81"/>
      <c r="G79" s="88"/>
      <c r="H79" s="94"/>
      <c r="I79" s="16"/>
      <c r="J79" s="16"/>
      <c r="K79" s="16"/>
    </row>
    <row r="80" spans="1:11" ht="47.25" customHeight="1" x14ac:dyDescent="0.25">
      <c r="A80" s="4" t="s">
        <v>141</v>
      </c>
      <c r="B80" s="80" t="s">
        <v>144</v>
      </c>
      <c r="C80" s="12"/>
      <c r="D80" s="53"/>
      <c r="E80" s="16">
        <f t="shared" ref="E80:E81" si="32">F80+G80+H80</f>
        <v>0</v>
      </c>
      <c r="F80" s="81"/>
      <c r="G80" s="88"/>
      <c r="H80" s="94"/>
      <c r="I80" s="16"/>
      <c r="J80" s="16"/>
      <c r="K80" s="16"/>
    </row>
    <row r="81" spans="1:11" ht="56.25" customHeight="1" x14ac:dyDescent="0.25">
      <c r="A81" s="4" t="s">
        <v>142</v>
      </c>
      <c r="B81" s="80" t="s">
        <v>145</v>
      </c>
      <c r="C81" s="12"/>
      <c r="D81" s="53"/>
      <c r="E81" s="16">
        <f t="shared" si="32"/>
        <v>0</v>
      </c>
      <c r="F81" s="81"/>
      <c r="G81" s="88"/>
      <c r="H81" s="94"/>
      <c r="I81" s="16"/>
      <c r="J81" s="16"/>
      <c r="K81" s="16"/>
    </row>
    <row r="82" spans="1:11" ht="43.5" customHeight="1" x14ac:dyDescent="0.25">
      <c r="A82" s="69" t="s">
        <v>146</v>
      </c>
      <c r="B82" s="70" t="s">
        <v>148</v>
      </c>
      <c r="C82" s="71" t="s">
        <v>47</v>
      </c>
      <c r="D82" s="72"/>
      <c r="E82" s="73">
        <f>E83</f>
        <v>0</v>
      </c>
      <c r="F82" s="73">
        <f t="shared" ref="F82:H82" si="33">F83</f>
        <v>0</v>
      </c>
      <c r="G82" s="73">
        <f t="shared" si="33"/>
        <v>0</v>
      </c>
      <c r="H82" s="73">
        <f t="shared" si="33"/>
        <v>0</v>
      </c>
      <c r="I82" s="73"/>
      <c r="J82" s="73"/>
      <c r="K82" s="73"/>
    </row>
    <row r="83" spans="1:11" ht="47.25" customHeight="1" x14ac:dyDescent="0.25">
      <c r="A83" s="4" t="s">
        <v>147</v>
      </c>
      <c r="B83" s="80" t="s">
        <v>149</v>
      </c>
      <c r="C83" s="12">
        <v>610</v>
      </c>
      <c r="D83" s="53"/>
      <c r="E83" s="16">
        <f>F83+G83+H83</f>
        <v>0</v>
      </c>
      <c r="F83" s="81"/>
      <c r="G83" s="88"/>
      <c r="H83" s="94"/>
      <c r="I83" s="16"/>
      <c r="J83" s="16"/>
      <c r="K83" s="18"/>
    </row>
    <row r="86" spans="1:11" ht="23.25" x14ac:dyDescent="0.25">
      <c r="A86" s="78"/>
      <c r="D86" s="78"/>
    </row>
    <row r="87" spans="1:11" ht="23.25" x14ac:dyDescent="0.25">
      <c r="A87" s="77"/>
    </row>
    <row r="88" spans="1:11" ht="23.25" x14ac:dyDescent="0.25">
      <c r="A88" s="77"/>
    </row>
    <row r="89" spans="1:11" ht="23.25" x14ac:dyDescent="0.25">
      <c r="A89" s="78"/>
      <c r="D89" s="78"/>
    </row>
  </sheetData>
  <mergeCells count="6">
    <mergeCell ref="A2:K2"/>
    <mergeCell ref="A4:A5"/>
    <mergeCell ref="B4:B5"/>
    <mergeCell ref="C4:C5"/>
    <mergeCell ref="D4:D5"/>
    <mergeCell ref="E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0"/>
  <sheetViews>
    <sheetView view="pageBreakPreview" zoomScale="55" zoomScaleNormal="55" zoomScaleSheetLayoutView="55" workbookViewId="0">
      <selection activeCell="E15" sqref="E15"/>
    </sheetView>
  </sheetViews>
  <sheetFormatPr defaultRowHeight="18.75" outlineLevelRow="1" x14ac:dyDescent="0.25"/>
  <cols>
    <col min="1" max="1" width="65.5703125" style="10" customWidth="1"/>
    <col min="2" max="2" width="17" style="27" customWidth="1"/>
    <col min="3" max="3" width="18.85546875" style="10" customWidth="1"/>
    <col min="4" max="4" width="19.140625" style="27" customWidth="1"/>
    <col min="5" max="6" width="24.28515625" style="134" customWidth="1"/>
    <col min="7" max="7" width="27.42578125" style="134" customWidth="1"/>
    <col min="8" max="8" width="31.140625" style="134" customWidth="1"/>
    <col min="9" max="9" width="28.7109375" style="10" customWidth="1"/>
    <col min="10" max="10" width="12.140625" style="10" bestFit="1" customWidth="1"/>
    <col min="11" max="16384" width="9.140625" style="10"/>
  </cols>
  <sheetData>
    <row r="2" spans="1:8" ht="42.75" customHeight="1" x14ac:dyDescent="0.25">
      <c r="A2" s="316" t="s">
        <v>38</v>
      </c>
      <c r="B2" s="317"/>
      <c r="C2" s="317"/>
      <c r="D2" s="317"/>
      <c r="E2" s="317"/>
      <c r="F2" s="317"/>
      <c r="G2" s="317"/>
      <c r="H2" s="317"/>
    </row>
    <row r="3" spans="1:8" ht="46.5" customHeight="1" x14ac:dyDescent="0.25">
      <c r="A3" s="76" t="s">
        <v>263</v>
      </c>
    </row>
    <row r="4" spans="1:8" ht="31.5" customHeight="1" x14ac:dyDescent="0.25">
      <c r="A4" s="318" t="s">
        <v>0</v>
      </c>
      <c r="B4" s="319" t="s">
        <v>1</v>
      </c>
      <c r="C4" s="318" t="s">
        <v>157</v>
      </c>
      <c r="D4" s="319" t="s">
        <v>158</v>
      </c>
      <c r="E4" s="328" t="s">
        <v>78</v>
      </c>
      <c r="F4" s="329"/>
      <c r="G4" s="329"/>
      <c r="H4" s="330"/>
    </row>
    <row r="5" spans="1:8" ht="173.25" customHeight="1" x14ac:dyDescent="0.25">
      <c r="A5" s="318"/>
      <c r="B5" s="319"/>
      <c r="C5" s="318"/>
      <c r="D5" s="319"/>
      <c r="E5" s="135" t="s">
        <v>269</v>
      </c>
      <c r="F5" s="135" t="s">
        <v>270</v>
      </c>
      <c r="G5" s="135" t="s">
        <v>271</v>
      </c>
      <c r="H5" s="135" t="s">
        <v>42</v>
      </c>
    </row>
    <row r="6" spans="1:8" ht="24" customHeight="1" x14ac:dyDescent="0.25">
      <c r="A6" s="132">
        <v>1</v>
      </c>
      <c r="B6" s="133">
        <v>2</v>
      </c>
      <c r="C6" s="132">
        <v>3</v>
      </c>
      <c r="D6" s="133">
        <v>4</v>
      </c>
      <c r="E6" s="132">
        <v>5</v>
      </c>
      <c r="F6" s="132">
        <v>6</v>
      </c>
      <c r="G6" s="132">
        <v>7</v>
      </c>
      <c r="H6" s="132">
        <v>8</v>
      </c>
    </row>
    <row r="7" spans="1:8" ht="51.75" customHeight="1" x14ac:dyDescent="0.25">
      <c r="A7" s="132" t="s">
        <v>43</v>
      </c>
      <c r="B7" s="133" t="s">
        <v>45</v>
      </c>
      <c r="C7" s="132" t="s">
        <v>6</v>
      </c>
      <c r="D7" s="133" t="s">
        <v>6</v>
      </c>
      <c r="E7" s="135">
        <f>'Разд 1.1 МЗ '!E7+'Разд 1.2 ИЦ'!E7+'Разд 1.3 ПДД'!E7</f>
        <v>376379.02000000048</v>
      </c>
      <c r="F7" s="135">
        <f>'Разд 1.1 МЗ '!F7+'Разд 1.2 ИЦ'!F7+'Разд 1.3 ПДД'!F7</f>
        <v>0</v>
      </c>
      <c r="G7" s="135">
        <f>'Разд 1.1 МЗ '!G7+'Разд 1.2 ИЦ'!G7+'Разд 1.3 ПДД'!G7</f>
        <v>0</v>
      </c>
      <c r="H7" s="135">
        <f>'Разд 1.1 МЗ '!H7+'Разд 1.2 ИЦ'!H7+'Разд 1.3 ПДД'!H7</f>
        <v>0</v>
      </c>
    </row>
    <row r="8" spans="1:8" ht="50.25" customHeight="1" x14ac:dyDescent="0.25">
      <c r="A8" s="132" t="s">
        <v>44</v>
      </c>
      <c r="B8" s="133" t="s">
        <v>46</v>
      </c>
      <c r="C8" s="132" t="s">
        <v>6</v>
      </c>
      <c r="D8" s="133" t="s">
        <v>6</v>
      </c>
      <c r="E8" s="135">
        <f>'Разд 1.1 МЗ '!E8+'Разд 1.2 ИЦ'!E8+'Разд 1.3 ПДД'!E8</f>
        <v>0</v>
      </c>
      <c r="F8" s="135">
        <f>'Разд 1.1 МЗ '!F8+'Разд 1.2 ИЦ'!F8+'Разд 1.3 ПДД'!F8</f>
        <v>0</v>
      </c>
      <c r="G8" s="135">
        <f>'Разд 1.1 МЗ '!G8+'Разд 1.2 ИЦ'!G8+'Разд 1.3 ПДД'!G8</f>
        <v>0</v>
      </c>
      <c r="H8" s="135">
        <f>'Разд 1.1 МЗ '!H8+'Разд 1.2 ИЦ'!H8+'Разд 1.3 ПДД'!H8</f>
        <v>0</v>
      </c>
    </row>
    <row r="9" spans="1:8" ht="37.5" customHeight="1" x14ac:dyDescent="0.25">
      <c r="A9" s="137" t="s">
        <v>48</v>
      </c>
      <c r="B9" s="138" t="s">
        <v>49</v>
      </c>
      <c r="C9" s="139"/>
      <c r="D9" s="138"/>
      <c r="E9" s="140">
        <f>E11+E14+E24</f>
        <v>197509285.64999998</v>
      </c>
      <c r="F9" s="140">
        <f t="shared" ref="F9:G9" si="0">F11+F14+F24</f>
        <v>202192795.69999999</v>
      </c>
      <c r="G9" s="140">
        <f t="shared" si="0"/>
        <v>208907195.69999999</v>
      </c>
      <c r="H9" s="140">
        <f>'Разд 1.1 МЗ '!H9+'Разд 1.2 ИЦ'!H9+'Разд 1.3 ПДД'!H9</f>
        <v>0</v>
      </c>
    </row>
    <row r="10" spans="1:8" ht="19.5" customHeight="1" x14ac:dyDescent="0.25">
      <c r="A10" s="4" t="s">
        <v>23</v>
      </c>
      <c r="B10" s="133"/>
      <c r="C10" s="132"/>
      <c r="D10" s="133"/>
      <c r="E10" s="135"/>
      <c r="F10" s="135"/>
      <c r="G10" s="135"/>
      <c r="H10" s="135"/>
    </row>
    <row r="11" spans="1:8" ht="28.5" customHeight="1" x14ac:dyDescent="0.25">
      <c r="A11" s="141" t="s">
        <v>50</v>
      </c>
      <c r="B11" s="142" t="s">
        <v>51</v>
      </c>
      <c r="C11" s="31">
        <v>120</v>
      </c>
      <c r="D11" s="142"/>
      <c r="E11" s="143">
        <f>E13</f>
        <v>358500</v>
      </c>
      <c r="F11" s="143">
        <f t="shared" ref="F11:H11" si="1">F13</f>
        <v>0</v>
      </c>
      <c r="G11" s="143">
        <f t="shared" si="1"/>
        <v>0</v>
      </c>
      <c r="H11" s="143">
        <f t="shared" si="1"/>
        <v>0</v>
      </c>
    </row>
    <row r="12" spans="1:8" ht="21" customHeight="1" x14ac:dyDescent="0.25">
      <c r="A12" s="4" t="s">
        <v>23</v>
      </c>
      <c r="B12" s="133" t="s">
        <v>52</v>
      </c>
      <c r="C12" s="11"/>
      <c r="D12" s="133"/>
      <c r="E12" s="135"/>
      <c r="F12" s="135"/>
      <c r="G12" s="135"/>
      <c r="H12" s="135"/>
    </row>
    <row r="13" spans="1:8" ht="36" customHeight="1" x14ac:dyDescent="0.25">
      <c r="A13" s="188" t="s">
        <v>249</v>
      </c>
      <c r="B13" s="70"/>
      <c r="C13" s="186">
        <v>121</v>
      </c>
      <c r="D13" s="70"/>
      <c r="E13" s="187">
        <f>'Разд 1.3 ПДД'!E13</f>
        <v>358500</v>
      </c>
      <c r="F13" s="187">
        <f>'Разд 1.3 ПДД'!F13</f>
        <v>0</v>
      </c>
      <c r="G13" s="187">
        <f>'Разд 1.3 ПДД'!G13</f>
        <v>0</v>
      </c>
      <c r="H13" s="187"/>
    </row>
    <row r="14" spans="1:8" ht="52.5" customHeight="1" x14ac:dyDescent="0.25">
      <c r="A14" s="141" t="s">
        <v>53</v>
      </c>
      <c r="B14" s="142" t="s">
        <v>54</v>
      </c>
      <c r="C14" s="31">
        <v>130</v>
      </c>
      <c r="D14" s="142"/>
      <c r="E14" s="143">
        <f>E16+E17+E18+E21+E19</f>
        <v>181071906.64999998</v>
      </c>
      <c r="F14" s="143">
        <f t="shared" ref="F14:G14" si="2">F16+F17+F18+F21+F19</f>
        <v>177751595.69999999</v>
      </c>
      <c r="G14" s="143">
        <f t="shared" si="2"/>
        <v>177751595.69999999</v>
      </c>
      <c r="H14" s="143">
        <f>'Разд 1.1 МЗ '!H13+'Разд 1.2 ИЦ'!H13+'Разд 1.3 ПДД'!H14</f>
        <v>0</v>
      </c>
    </row>
    <row r="15" spans="1:8" ht="20.25" customHeight="1" x14ac:dyDescent="0.25">
      <c r="A15" s="4" t="s">
        <v>55</v>
      </c>
      <c r="B15" s="133"/>
      <c r="C15" s="11"/>
      <c r="D15" s="133"/>
      <c r="E15" s="135"/>
      <c r="F15" s="135"/>
      <c r="G15" s="135"/>
      <c r="H15" s="135"/>
    </row>
    <row r="16" spans="1:8" ht="38.25" customHeight="1" x14ac:dyDescent="0.25">
      <c r="A16" s="47" t="s">
        <v>56</v>
      </c>
      <c r="B16" s="42" t="s">
        <v>58</v>
      </c>
      <c r="C16" s="43">
        <v>131</v>
      </c>
      <c r="D16" s="42"/>
      <c r="E16" s="136">
        <f>'Разд 1.1 МЗ '!E15+'Разд 1.2 ИЦ'!E15+'Разд 1.3 ПДД'!E16+'Разд 1.1 МЗ '!E16</f>
        <v>174897577.78999999</v>
      </c>
      <c r="F16" s="136">
        <f>'Разд 1.1 МЗ '!F15+'Разд 1.2 ИЦ'!F15+'Разд 1.3 ПДД'!F16+'Разд 1.1 МЗ '!F16</f>
        <v>175631800</v>
      </c>
      <c r="G16" s="136">
        <f>'Разд 1.1 МЗ '!G15+'Разд 1.2 ИЦ'!G15+'Разд 1.3 ПДД'!G16+'Разд 1.1 МЗ '!G16</f>
        <v>175631800</v>
      </c>
      <c r="H16" s="136">
        <f>'Разд 1.1 МЗ '!H15+'Разд 1.2 ИЦ'!H15+'Разд 1.3 ПДД'!H16</f>
        <v>0</v>
      </c>
    </row>
    <row r="17" spans="1:8" ht="76.5" hidden="1" customHeight="1" x14ac:dyDescent="0.25">
      <c r="A17" s="13" t="s">
        <v>57</v>
      </c>
      <c r="B17" s="164" t="s">
        <v>59</v>
      </c>
      <c r="C17" s="11">
        <v>131</v>
      </c>
      <c r="D17" s="164"/>
      <c r="E17" s="135">
        <f>'Разд 1.1 МЗ '!E17+'Разд 1.2 ИЦ'!E16+'Разд 1.3 ПДД'!E17</f>
        <v>0</v>
      </c>
      <c r="F17" s="135">
        <f>'Разд 1.1 МЗ '!F17+'Разд 1.2 ИЦ'!F16+'Разд 1.3 ПДД'!F17</f>
        <v>0</v>
      </c>
      <c r="G17" s="135">
        <f>'Разд 1.1 МЗ '!G17+'Разд 1.2 ИЦ'!G16+'Разд 1.3 ПДД'!G17</f>
        <v>0</v>
      </c>
      <c r="H17" s="135">
        <f>'Разд 1.1 МЗ '!H17+'Разд 1.2 ИЦ'!H16+'Разд 1.3 ПДД'!H17</f>
        <v>0</v>
      </c>
    </row>
    <row r="18" spans="1:8" ht="33" customHeight="1" x14ac:dyDescent="0.25">
      <c r="A18" s="185" t="s">
        <v>252</v>
      </c>
      <c r="B18" s="70" t="s">
        <v>163</v>
      </c>
      <c r="C18" s="186">
        <v>131</v>
      </c>
      <c r="D18" s="70"/>
      <c r="E18" s="187">
        <f>'Разд 1.1 МЗ '!E18+'Разд 1.2 ИЦ'!E17+'Разд 1.3 ПДД'!E18</f>
        <v>2051000</v>
      </c>
      <c r="F18" s="187">
        <f>'Разд 1.1 МЗ '!F18+'Разд 1.2 ИЦ'!F17+'Разд 1.3 ПДД'!F18</f>
        <v>1500000</v>
      </c>
      <c r="G18" s="187">
        <f>'Разд 1.1 МЗ '!G18+'Разд 1.2 ИЦ'!G17+'Разд 1.3 ПДД'!G18</f>
        <v>1500000</v>
      </c>
      <c r="H18" s="187">
        <f>'Разд 1.1 МЗ '!H18+'Разд 1.2 ИЦ'!H17+'Разд 1.3 ПДД'!H18</f>
        <v>0</v>
      </c>
    </row>
    <row r="19" spans="1:8" ht="33" customHeight="1" x14ac:dyDescent="0.25">
      <c r="A19" s="185" t="s">
        <v>251</v>
      </c>
      <c r="B19" s="70"/>
      <c r="C19" s="186">
        <v>131</v>
      </c>
      <c r="D19" s="70"/>
      <c r="E19" s="187">
        <f>'Разд 1.3 ПДД'!E19</f>
        <v>3862033.16</v>
      </c>
      <c r="F19" s="187">
        <f>'Разд 1.3 ПДД'!F19</f>
        <v>0</v>
      </c>
      <c r="G19" s="187">
        <f>'Разд 1.3 ПДД'!G19</f>
        <v>0</v>
      </c>
      <c r="H19" s="187">
        <f>'Разд 1.3 ПДД'!H19</f>
        <v>0</v>
      </c>
    </row>
    <row r="20" spans="1:8" ht="33" customHeight="1" x14ac:dyDescent="0.25">
      <c r="A20" s="185" t="str">
        <f>'Разд 1.3 ПДД'!A20</f>
        <v>Доходы от родительской платы (лагерь)</v>
      </c>
      <c r="B20" s="70"/>
      <c r="C20" s="186">
        <f>'Разд 1.3 ПДД'!C20</f>
        <v>131</v>
      </c>
      <c r="D20" s="70"/>
      <c r="E20" s="187">
        <f>'Разд 1.3 ПДД'!E20</f>
        <v>254250</v>
      </c>
      <c r="F20" s="187">
        <f>'Разд 1.3 ПДД'!F20</f>
        <v>0</v>
      </c>
      <c r="G20" s="187">
        <f>'Разд 1.3 ПДД'!G20</f>
        <v>0</v>
      </c>
      <c r="H20" s="187">
        <f>'Разд 1.3 ПДД'!G20</f>
        <v>0</v>
      </c>
    </row>
    <row r="21" spans="1:8" ht="23.25" customHeight="1" x14ac:dyDescent="0.25">
      <c r="A21" s="185" t="s">
        <v>206</v>
      </c>
      <c r="B21" s="70" t="s">
        <v>163</v>
      </c>
      <c r="C21" s="186">
        <v>135</v>
      </c>
      <c r="D21" s="70"/>
      <c r="E21" s="187">
        <f>'Разд 1.3 ПДД'!E21</f>
        <v>261295.69999999995</v>
      </c>
      <c r="F21" s="187">
        <f>'Разд 1.3 ПДД'!F21</f>
        <v>619795.69999999995</v>
      </c>
      <c r="G21" s="187">
        <f>'Разд 1.3 ПДД'!G21</f>
        <v>619795.69999999995</v>
      </c>
      <c r="H21" s="187">
        <f>'Разд 1.3 ПДД'!H21</f>
        <v>0</v>
      </c>
    </row>
    <row r="22" spans="1:8" ht="39" customHeight="1" x14ac:dyDescent="0.25">
      <c r="A22" s="144" t="s">
        <v>60</v>
      </c>
      <c r="B22" s="145" t="s">
        <v>61</v>
      </c>
      <c r="C22" s="146">
        <v>140</v>
      </c>
      <c r="D22" s="145"/>
      <c r="E22" s="147">
        <f>'Разд 1.1 МЗ '!E18+'Разд 1.2 ИЦ'!E17+'Разд 1.3 ПДД'!E23</f>
        <v>0</v>
      </c>
      <c r="F22" s="147">
        <f>'Разд 1.1 МЗ '!F18+'Разд 1.2 ИЦ'!F17+'Разд 1.3 ПДД'!F23</f>
        <v>0</v>
      </c>
      <c r="G22" s="147">
        <f>'Разд 1.1 МЗ '!G18+'Разд 1.2 ИЦ'!G17+'Разд 1.3 ПДД'!G23</f>
        <v>0</v>
      </c>
      <c r="H22" s="147">
        <f>'Разд 1.1 МЗ '!H18+'Разд 1.2 ИЦ'!H17+'Разд 1.3 ПДД'!H23</f>
        <v>0</v>
      </c>
    </row>
    <row r="23" spans="1:8" ht="21" customHeight="1" x14ac:dyDescent="0.25">
      <c r="A23" s="13" t="s">
        <v>55</v>
      </c>
      <c r="B23" s="133" t="s">
        <v>63</v>
      </c>
      <c r="C23" s="11">
        <v>140</v>
      </c>
      <c r="D23" s="133"/>
      <c r="E23" s="135"/>
      <c r="F23" s="135"/>
      <c r="G23" s="135"/>
      <c r="H23" s="135"/>
    </row>
    <row r="24" spans="1:8" ht="39" customHeight="1" x14ac:dyDescent="0.25">
      <c r="A24" s="144" t="s">
        <v>73</v>
      </c>
      <c r="B24" s="145" t="s">
        <v>64</v>
      </c>
      <c r="C24" s="146">
        <v>150</v>
      </c>
      <c r="D24" s="145"/>
      <c r="E24" s="147">
        <f>E25+E28</f>
        <v>16078879</v>
      </c>
      <c r="F24" s="147">
        <f t="shared" ref="F24:G24" si="3">F25+F28</f>
        <v>24441200</v>
      </c>
      <c r="G24" s="147">
        <f t="shared" si="3"/>
        <v>31155600</v>
      </c>
      <c r="H24" s="147">
        <f>'Разд 1.1 МЗ '!H20+'Разд 1.2 ИЦ'!H19+'Разд 1.3 ПДД'!H25</f>
        <v>0</v>
      </c>
    </row>
    <row r="25" spans="1:8" ht="23.25" customHeight="1" x14ac:dyDescent="0.25">
      <c r="A25" s="185" t="s">
        <v>264</v>
      </c>
      <c r="B25" s="70"/>
      <c r="C25" s="186">
        <v>155</v>
      </c>
      <c r="D25" s="70"/>
      <c r="E25" s="187">
        <f>'Разд 1.3 ПДД'!E27</f>
        <v>0</v>
      </c>
      <c r="F25" s="187">
        <f>'Разд 1.3 ПДД'!F27</f>
        <v>0</v>
      </c>
      <c r="G25" s="187">
        <f>'Разд 1.3 ПДД'!G27</f>
        <v>0</v>
      </c>
      <c r="H25" s="187"/>
    </row>
    <row r="26" spans="1:8" ht="39" hidden="1" customHeight="1" x14ac:dyDescent="0.25">
      <c r="A26" s="144" t="s">
        <v>74</v>
      </c>
      <c r="B26" s="145" t="s">
        <v>65</v>
      </c>
      <c r="C26" s="146">
        <v>180</v>
      </c>
      <c r="D26" s="145"/>
      <c r="E26" s="147">
        <f>'Разд 1.1 МЗ '!E22+'Разд 1.2 ИЦ'!E21+'Разд 1.3 ПДД'!E29</f>
        <v>16078879</v>
      </c>
      <c r="F26" s="147">
        <f>'Разд 1.1 МЗ '!F22+'Разд 1.2 ИЦ'!F21+'Разд 1.3 ПДД'!F29</f>
        <v>24441200</v>
      </c>
      <c r="G26" s="147">
        <f>'Разд 1.1 МЗ '!G22+'Разд 1.2 ИЦ'!G21+'Разд 1.3 ПДД'!G29</f>
        <v>31155600</v>
      </c>
      <c r="H26" s="147">
        <f>'Разд 1.1 МЗ '!H22+'Разд 1.2 ИЦ'!H21+'Разд 1.3 ПДД'!H29</f>
        <v>0</v>
      </c>
    </row>
    <row r="27" spans="1:8" ht="15.75" customHeight="1" x14ac:dyDescent="0.25">
      <c r="A27" s="13" t="s">
        <v>55</v>
      </c>
      <c r="B27" s="133"/>
      <c r="C27" s="11"/>
      <c r="D27" s="133"/>
      <c r="E27" s="135"/>
      <c r="F27" s="135"/>
      <c r="G27" s="135"/>
      <c r="H27" s="135"/>
    </row>
    <row r="28" spans="1:8" ht="25.5" customHeight="1" x14ac:dyDescent="0.25">
      <c r="A28" s="181" t="s">
        <v>62</v>
      </c>
      <c r="B28" s="182"/>
      <c r="C28" s="183">
        <v>152</v>
      </c>
      <c r="D28" s="182"/>
      <c r="E28" s="184">
        <f>'Разд 1.2 ИЦ'!E23</f>
        <v>16078879</v>
      </c>
      <c r="F28" s="184">
        <f>'Разд 1.2 ИЦ'!F23</f>
        <v>24441200</v>
      </c>
      <c r="G28" s="184">
        <f>'Разд 1.2 ИЦ'!G23</f>
        <v>31155600</v>
      </c>
      <c r="H28" s="184">
        <f>'Разд 1.2 ИЦ'!H23</f>
        <v>0</v>
      </c>
    </row>
    <row r="29" spans="1:8" ht="24.75" hidden="1" customHeight="1" x14ac:dyDescent="0.25">
      <c r="A29" s="13" t="s">
        <v>3</v>
      </c>
      <c r="B29" s="133" t="s">
        <v>67</v>
      </c>
      <c r="C29" s="11">
        <v>180</v>
      </c>
      <c r="D29" s="133"/>
      <c r="E29" s="135">
        <f>'Разд 1.1 МЗ '!E25+'Разд 1.2 ИЦ'!E25+'Разд 1.3 ПДД'!E32</f>
        <v>0</v>
      </c>
      <c r="F29" s="135">
        <f>'Разд 1.1 МЗ '!F25+'Разд 1.2 ИЦ'!F25+'Разд 1.3 ПДД'!F32</f>
        <v>0</v>
      </c>
      <c r="G29" s="135">
        <f>'Разд 1.1 МЗ '!G25+'Разд 1.2 ИЦ'!G25+'Разд 1.3 ПДД'!G32</f>
        <v>0</v>
      </c>
      <c r="H29" s="135">
        <f>'Разд 1.1 МЗ '!H25+'Разд 1.2 ИЦ'!H25+'Разд 1.3 ПДД'!H32</f>
        <v>0</v>
      </c>
    </row>
    <row r="30" spans="1:8" ht="20.25" hidden="1" customHeight="1" x14ac:dyDescent="0.25">
      <c r="A30" s="13"/>
      <c r="B30" s="133"/>
      <c r="C30" s="11"/>
      <c r="D30" s="133"/>
      <c r="E30" s="135">
        <f>'Разд 1.1 МЗ '!E26+'Разд 1.2 ИЦ'!E26+'Разд 1.3 ПДД'!E33</f>
        <v>0</v>
      </c>
      <c r="F30" s="135">
        <f>'Разд 1.1 МЗ '!F26+'Разд 1.2 ИЦ'!F26+'Разд 1.3 ПДД'!F33</f>
        <v>0</v>
      </c>
      <c r="G30" s="135">
        <f>'Разд 1.1 МЗ '!G26+'Разд 1.2 ИЦ'!G26+'Разд 1.3 ПДД'!G33</f>
        <v>0</v>
      </c>
      <c r="H30" s="135">
        <f>'Разд 1.1 МЗ '!H26+'Разд 1.2 ИЦ'!H26+'Разд 1.3 ПДД'!H33</f>
        <v>0</v>
      </c>
    </row>
    <row r="31" spans="1:8" ht="17.25" customHeight="1" x14ac:dyDescent="0.25">
      <c r="A31" s="74" t="s">
        <v>75</v>
      </c>
      <c r="B31" s="133" t="s">
        <v>68</v>
      </c>
      <c r="C31" s="11"/>
      <c r="D31" s="133"/>
      <c r="E31" s="135">
        <f>'Разд 1.1 МЗ '!E27+'Разд 1.2 ИЦ'!E27+'Разд 1.3 ПДД'!E34</f>
        <v>0</v>
      </c>
      <c r="F31" s="135">
        <f>'Разд 1.1 МЗ '!F27+'Разд 1.2 ИЦ'!F27+'Разд 1.3 ПДД'!F34</f>
        <v>0</v>
      </c>
      <c r="G31" s="135">
        <f>'Разд 1.1 МЗ '!G27+'Разд 1.2 ИЦ'!G27+'Разд 1.3 ПДД'!G34</f>
        <v>0</v>
      </c>
      <c r="H31" s="135">
        <f>'Разд 1.1 МЗ '!H27+'Разд 1.2 ИЦ'!H27+'Разд 1.3 ПДД'!H34</f>
        <v>0</v>
      </c>
    </row>
    <row r="32" spans="1:8" ht="15.75" customHeight="1" x14ac:dyDescent="0.25">
      <c r="A32" s="13" t="s">
        <v>55</v>
      </c>
      <c r="B32" s="133"/>
      <c r="C32" s="11"/>
      <c r="D32" s="133"/>
      <c r="E32" s="135"/>
      <c r="F32" s="135"/>
      <c r="G32" s="135"/>
      <c r="H32" s="135"/>
    </row>
    <row r="33" spans="1:8" ht="18" hidden="1" customHeight="1" x14ac:dyDescent="0.25">
      <c r="A33" s="13"/>
      <c r="B33" s="133"/>
      <c r="C33" s="11"/>
      <c r="D33" s="133"/>
      <c r="E33" s="135" t="e">
        <f>'Разд 1.1 МЗ '!E29+'Разд 1.2 ИЦ'!E29+'Разд 1.3 ПДД'!#REF!</f>
        <v>#REF!</v>
      </c>
      <c r="F33" s="135" t="e">
        <f>'Разд 1.1 МЗ '!F29+'Разд 1.2 ИЦ'!F29+'Разд 1.3 ПДД'!#REF!</f>
        <v>#REF!</v>
      </c>
      <c r="G33" s="135" t="e">
        <f>'Разд 1.1 МЗ '!G29+'Разд 1.2 ИЦ'!G29+'Разд 1.3 ПДД'!#REF!</f>
        <v>#REF!</v>
      </c>
      <c r="H33" s="135" t="e">
        <f>'Разд 1.1 МЗ '!H29+'Разд 1.2 ИЦ'!H29+'Разд 1.3 ПДД'!#REF!</f>
        <v>#REF!</v>
      </c>
    </row>
    <row r="34" spans="1:8" ht="24" customHeight="1" x14ac:dyDescent="0.25">
      <c r="A34" s="74" t="s">
        <v>69</v>
      </c>
      <c r="B34" s="133" t="s">
        <v>71</v>
      </c>
      <c r="C34" s="11" t="s">
        <v>47</v>
      </c>
      <c r="D34" s="133"/>
      <c r="E34" s="135">
        <f>'Разд 1.1 МЗ '!E30+'Разд 1.2 ИЦ'!E30+'Разд 1.3 ПДД'!E36</f>
        <v>376379.02</v>
      </c>
      <c r="F34" s="135">
        <f>'Разд 1.1 МЗ '!F30+'Разд 1.2 ИЦ'!F30+'Разд 1.3 ПДД'!F36</f>
        <v>0</v>
      </c>
      <c r="G34" s="135">
        <f>'Разд 1.1 МЗ '!G30+'Разд 1.2 ИЦ'!G30+'Разд 1.3 ПДД'!G36</f>
        <v>0</v>
      </c>
      <c r="H34" s="135">
        <f>'Разд 1.1 МЗ '!H30+'Разд 1.2 ИЦ'!H30+'Разд 1.3 ПДД'!H36</f>
        <v>0</v>
      </c>
    </row>
    <row r="35" spans="1:8" ht="18" customHeight="1" x14ac:dyDescent="0.25">
      <c r="A35" s="74" t="s">
        <v>5</v>
      </c>
      <c r="B35" s="133"/>
      <c r="C35" s="11"/>
      <c r="D35" s="133"/>
      <c r="E35" s="135">
        <f>'Разд 1.1 МЗ '!E31+'Разд 1.2 ИЦ'!E31+'Разд 1.3 ПДД'!E37</f>
        <v>0</v>
      </c>
      <c r="F35" s="135">
        <f>'Разд 1.1 МЗ '!F31+'Разд 1.2 ИЦ'!F31+'Разд 1.3 ПДД'!F37</f>
        <v>0</v>
      </c>
      <c r="G35" s="135">
        <f>'Разд 1.1 МЗ '!G31+'Разд 1.2 ИЦ'!G31+'Разд 1.3 ПДД'!G37</f>
        <v>0</v>
      </c>
      <c r="H35" s="135">
        <f>'Разд 1.1 МЗ '!H31+'Разд 1.2 ИЦ'!H31+'Разд 1.3 ПДД'!H37</f>
        <v>0</v>
      </c>
    </row>
    <row r="36" spans="1:8" ht="30.75" customHeight="1" x14ac:dyDescent="0.25">
      <c r="A36" s="13" t="s">
        <v>70</v>
      </c>
      <c r="B36" s="133" t="s">
        <v>72</v>
      </c>
      <c r="C36" s="11">
        <v>510</v>
      </c>
      <c r="D36" s="133"/>
      <c r="E36" s="135">
        <f>'Разд 1.1 МЗ '!E32+'Разд 1.2 ИЦ'!E32+'Разд 1.3 ПДД'!E38</f>
        <v>376379.02</v>
      </c>
      <c r="F36" s="135">
        <f>'Разд 1.1 МЗ '!F32+'Разд 1.2 ИЦ'!F32+'Разд 1.3 ПДД'!F38</f>
        <v>0</v>
      </c>
      <c r="G36" s="135">
        <f>'Разд 1.1 МЗ '!G32+'Разд 1.2 ИЦ'!G32+'Разд 1.3 ПДД'!G38</f>
        <v>0</v>
      </c>
      <c r="H36" s="135">
        <f>'Разд 1.1 МЗ '!H32+'Разд 1.2 ИЦ'!H32+'Разд 1.3 ПДД'!H38</f>
        <v>0</v>
      </c>
    </row>
    <row r="37" spans="1:8" ht="74.25" customHeight="1" x14ac:dyDescent="0.25">
      <c r="A37" s="48" t="s">
        <v>79</v>
      </c>
      <c r="B37" s="49" t="s">
        <v>80</v>
      </c>
      <c r="C37" s="50" t="s">
        <v>4</v>
      </c>
      <c r="D37" s="49"/>
      <c r="E37" s="148">
        <f>'Разд 1.1 МЗ '!E33+'Разд 1.2 ИЦ'!E33+'Разд 1.3 ПДД'!E39</f>
        <v>198139914.66999999</v>
      </c>
      <c r="F37" s="148">
        <f>'Разд 1.1 МЗ '!F33+'Разд 1.2 ИЦ'!F33+'Разд 1.3 ПДД'!F39</f>
        <v>202192795.69999999</v>
      </c>
      <c r="G37" s="148">
        <f>'Разд 1.1 МЗ '!G33+'Разд 1.2 ИЦ'!G33+'Разд 1.3 ПДД'!G39</f>
        <v>208907195.69999999</v>
      </c>
      <c r="H37" s="148">
        <f>'Разд 1.1 МЗ '!H33+'Разд 1.2 ИЦ'!H33+'Разд 1.3 ПДД'!H39</f>
        <v>0</v>
      </c>
    </row>
    <row r="38" spans="1:8" ht="30.75" customHeight="1" x14ac:dyDescent="0.25">
      <c r="A38" s="52" t="s">
        <v>81</v>
      </c>
      <c r="B38" s="133" t="s">
        <v>82</v>
      </c>
      <c r="C38" s="12" t="s">
        <v>47</v>
      </c>
      <c r="D38" s="133"/>
      <c r="E38" s="135">
        <f>'Разд 1.1 МЗ '!E34+'Разд 1.2 ИЦ'!E34+'Разд 1.3 ПДД'!E40</f>
        <v>151533219.06999999</v>
      </c>
      <c r="F38" s="135">
        <f>'Разд 1.1 МЗ '!F34+'Разд 1.2 ИЦ'!F34+'Разд 1.3 ПДД'!F40</f>
        <v>15842789.199999999</v>
      </c>
      <c r="G38" s="135">
        <f>'Разд 1.1 МЗ '!G34+'Разд 1.2 ИЦ'!G34+'Разд 1.3 ПДД'!G40</f>
        <v>17820389.199999999</v>
      </c>
      <c r="H38" s="135">
        <f>'Разд 1.1 МЗ '!H34+'Разд 1.2 ИЦ'!H34+'Разд 1.3 ПДД'!H40</f>
        <v>0</v>
      </c>
    </row>
    <row r="39" spans="1:8" ht="19.5" customHeight="1" x14ac:dyDescent="0.25">
      <c r="A39" s="52" t="s">
        <v>55</v>
      </c>
      <c r="B39" s="133"/>
      <c r="C39" s="12"/>
      <c r="D39" s="133"/>
      <c r="E39" s="135"/>
      <c r="F39" s="135"/>
      <c r="G39" s="135"/>
      <c r="H39" s="135"/>
    </row>
    <row r="40" spans="1:8" ht="46.5" customHeight="1" x14ac:dyDescent="0.25">
      <c r="A40" s="149" t="s">
        <v>7</v>
      </c>
      <c r="B40" s="150" t="s">
        <v>83</v>
      </c>
      <c r="C40" s="151">
        <v>111</v>
      </c>
      <c r="D40" s="150"/>
      <c r="E40" s="152">
        <f>'Разд 1.1 МЗ '!E36+'Разд 1.2 ИЦ'!E36+'Разд 1.3 ПДД'!E42</f>
        <v>111077475.06999999</v>
      </c>
      <c r="F40" s="152">
        <f>'Разд 1.1 МЗ '!F36+'Разд 1.2 ИЦ'!F36+'Разд 1.3 ПДД'!F42</f>
        <v>107270078.8</v>
      </c>
      <c r="G40" s="152">
        <f>'Разд 1.1 МЗ '!G36+'Разд 1.2 ИЦ'!G36+'Разд 1.3 ПДД'!G42</f>
        <v>107270078.8</v>
      </c>
      <c r="H40" s="152">
        <f>'Разд 1.1 МЗ '!H36+'Разд 1.2 ИЦ'!H36+'Разд 1.3 ПДД'!H42</f>
        <v>0</v>
      </c>
    </row>
    <row r="41" spans="1:8" ht="29.25" customHeight="1" outlineLevel="1" x14ac:dyDescent="0.25">
      <c r="A41" s="13" t="s">
        <v>257</v>
      </c>
      <c r="B41" s="133"/>
      <c r="C41" s="12">
        <v>111</v>
      </c>
      <c r="D41" s="133" t="s">
        <v>97</v>
      </c>
      <c r="E41" s="135">
        <f>'Разд 1.1 МЗ '!E37+'Разд 1.2 ИЦ'!E37+'Разд 1.3 ПДД'!E43</f>
        <v>110503532.06999999</v>
      </c>
      <c r="F41" s="135">
        <f>'Разд 1.1 МЗ '!F37+'Разд 1.2 ИЦ'!F37+'Разд 1.3 ПДД'!F43</f>
        <v>106696135.8</v>
      </c>
      <c r="G41" s="135">
        <f>'Разд 1.1 МЗ '!G37+'Разд 1.2 ИЦ'!G37+'Разд 1.3 ПДД'!G43</f>
        <v>106696135.8</v>
      </c>
      <c r="H41" s="135">
        <f>'Разд 1.1 МЗ '!H37+'Разд 1.2 ИЦ'!H37+'Разд 1.3 ПДД'!H43</f>
        <v>0</v>
      </c>
    </row>
    <row r="42" spans="1:8" ht="36.75" customHeight="1" outlineLevel="1" x14ac:dyDescent="0.25">
      <c r="A42" s="13" t="s">
        <v>256</v>
      </c>
      <c r="B42" s="133"/>
      <c r="C42" s="12">
        <v>111</v>
      </c>
      <c r="D42" s="133" t="s">
        <v>96</v>
      </c>
      <c r="E42" s="135">
        <f>'Разд 1.1 МЗ '!E39+'Разд 1.2 ИЦ'!E38+'Разд 1.3 ПДД'!E44</f>
        <v>573943</v>
      </c>
      <c r="F42" s="135">
        <f>'Разд 1.1 МЗ '!F39+'Разд 1.2 ИЦ'!F38+'Разд 1.3 ПДД'!F44</f>
        <v>573943</v>
      </c>
      <c r="G42" s="135">
        <f>'Разд 1.1 МЗ '!G39+'Разд 1.2 ИЦ'!G38+'Разд 1.3 ПДД'!G44</f>
        <v>573943</v>
      </c>
      <c r="H42" s="135">
        <f>'Разд 1.1 МЗ '!H39+'Разд 1.2 ИЦ'!H38+'Разд 1.3 ПДД'!H44</f>
        <v>0</v>
      </c>
    </row>
    <row r="43" spans="1:8" ht="43.5" customHeight="1" x14ac:dyDescent="0.25">
      <c r="A43" s="189" t="s">
        <v>84</v>
      </c>
      <c r="B43" s="150" t="s">
        <v>85</v>
      </c>
      <c r="C43" s="151">
        <v>112</v>
      </c>
      <c r="D43" s="150"/>
      <c r="E43" s="152">
        <f>'Разд 1.1 МЗ '!E40+'Разд 1.2 ИЦ'!E39+'Разд 1.3 ПДД'!E45</f>
        <v>3297119.82</v>
      </c>
      <c r="F43" s="152">
        <f>'Разд 1.1 МЗ '!F40+'Разд 1.2 ИЦ'!F39+'Разд 1.3 ПДД'!F45</f>
        <v>5193752.6500000004</v>
      </c>
      <c r="G43" s="152">
        <f>'Разд 1.1 МЗ '!G40+'Разд 1.2 ИЦ'!G39+'Разд 1.3 ПДД'!G45</f>
        <v>6647805.2999999998</v>
      </c>
      <c r="H43" s="152">
        <f>'Разд 1.1 МЗ '!H40+'Разд 1.2 ИЦ'!H39+'Разд 1.3 ПДД'!H45</f>
        <v>0</v>
      </c>
    </row>
    <row r="44" spans="1:8" ht="36" customHeight="1" outlineLevel="1" x14ac:dyDescent="0.25">
      <c r="A44" s="13" t="s">
        <v>253</v>
      </c>
      <c r="B44" s="133"/>
      <c r="C44" s="12">
        <v>112</v>
      </c>
      <c r="D44" s="133">
        <v>212</v>
      </c>
      <c r="E44" s="135">
        <f>'Разд 1.1 МЗ '!E41+'Разд 1.2 ИЦ'!E40+'Разд 1.3 ПДД'!E46</f>
        <v>85300</v>
      </c>
      <c r="F44" s="135">
        <f>'Разд 1.1 МЗ '!F41+'Разд 1.2 ИЦ'!F40+'Разд 1.3 ПДД'!F46</f>
        <v>109705.25</v>
      </c>
      <c r="G44" s="135">
        <f>'Разд 1.1 МЗ '!G41+'Разд 1.2 ИЦ'!G40+'Разд 1.3 ПДД'!G46</f>
        <v>121494.75</v>
      </c>
      <c r="H44" s="135">
        <f>'Разд 1.1 МЗ '!H41+'Разд 1.2 ИЦ'!H40+'Разд 1.3 ПДД'!H46</f>
        <v>0</v>
      </c>
    </row>
    <row r="45" spans="1:8" ht="39.75" customHeight="1" outlineLevel="1" x14ac:dyDescent="0.25">
      <c r="A45" s="13" t="s">
        <v>254</v>
      </c>
      <c r="B45" s="133"/>
      <c r="C45" s="12">
        <v>112</v>
      </c>
      <c r="D45" s="133" t="s">
        <v>95</v>
      </c>
      <c r="E45" s="135">
        <f>'Разд 1.1 МЗ '!E42+'Разд 1.2 ИЦ'!E41+'Разд 1.3 ПДД'!E47</f>
        <v>1875023.42</v>
      </c>
      <c r="F45" s="135">
        <f>'Разд 1.1 МЗ '!F42+'Разд 1.2 ИЦ'!F41+'Разд 1.3 ПДД'!F47</f>
        <v>2381315.7999999998</v>
      </c>
      <c r="G45" s="135">
        <f>'Разд 1.1 МЗ '!G42+'Разд 1.2 ИЦ'!G41+'Разд 1.3 ПДД'!G47</f>
        <v>2476210.5499999998</v>
      </c>
      <c r="H45" s="135">
        <f>'Разд 1.1 МЗ '!H42+'Разд 1.2 ИЦ'!H41+'Разд 1.3 ПДД'!H47</f>
        <v>0</v>
      </c>
    </row>
    <row r="46" spans="1:8" ht="33" customHeight="1" outlineLevel="1" x14ac:dyDescent="0.25">
      <c r="A46" s="13" t="s">
        <v>9</v>
      </c>
      <c r="B46" s="133"/>
      <c r="C46" s="12">
        <v>112</v>
      </c>
      <c r="D46" s="133" t="s">
        <v>94</v>
      </c>
      <c r="E46" s="135">
        <f>'Разд 1.1 МЗ '!E43+'Разд 1.2 ИЦ'!E42+'Разд 1.3 ПДД'!E48</f>
        <v>0</v>
      </c>
      <c r="F46" s="135">
        <f>'Разд 1.1 МЗ '!F43+'Разд 1.2 ИЦ'!F42+'Разд 1.3 ПДД'!F48</f>
        <v>0</v>
      </c>
      <c r="G46" s="135">
        <f>'Разд 1.1 МЗ '!G43+'Разд 1.2 ИЦ'!G42+'Разд 1.3 ПДД'!G48</f>
        <v>0</v>
      </c>
      <c r="H46" s="135">
        <f>'Разд 1.1 МЗ '!H43+'Разд 1.2 ИЦ'!H42+'Разд 1.3 ПДД'!H48</f>
        <v>0</v>
      </c>
    </row>
    <row r="47" spans="1:8" ht="34.5" customHeight="1" outlineLevel="1" x14ac:dyDescent="0.25">
      <c r="A47" s="13" t="s">
        <v>255</v>
      </c>
      <c r="B47" s="133"/>
      <c r="C47" s="12">
        <v>112</v>
      </c>
      <c r="D47" s="133">
        <v>226</v>
      </c>
      <c r="E47" s="135">
        <f>'Разд 1.1 МЗ '!E44+'Разд 1.2 ИЦ'!E43+'Разд 1.3 ПДД'!E49</f>
        <v>1336796.3999999999</v>
      </c>
      <c r="F47" s="135">
        <f>'Разд 1.1 МЗ '!F44+'Разд 1.2 ИЦ'!F43+'Разд 1.3 ПДД'!F49</f>
        <v>2701931.6</v>
      </c>
      <c r="G47" s="135">
        <f>'Разд 1.1 МЗ '!G44+'Разд 1.2 ИЦ'!G43+'Разд 1.3 ПДД'!G49</f>
        <v>4049300</v>
      </c>
      <c r="H47" s="135">
        <f>'Разд 1.1 МЗ '!H44+'Разд 1.2 ИЦ'!H43+'Разд 1.3 ПДД'!H49</f>
        <v>0</v>
      </c>
    </row>
    <row r="48" spans="1:8" ht="34.5" customHeight="1" outlineLevel="1" x14ac:dyDescent="0.25">
      <c r="A48" s="13" t="s">
        <v>256</v>
      </c>
      <c r="B48" s="133"/>
      <c r="C48" s="12">
        <v>112</v>
      </c>
      <c r="D48" s="133" t="s">
        <v>96</v>
      </c>
      <c r="E48" s="135">
        <f>'Разд 1.1 МЗ '!E45+'Разд 1.2 ИЦ'!E44+'Разд 1.3 ПДД'!E50</f>
        <v>0</v>
      </c>
      <c r="F48" s="135">
        <f>'Разд 1.1 МЗ '!F45+'Разд 1.2 ИЦ'!F44+'Разд 1.3 ПДД'!F50</f>
        <v>800</v>
      </c>
      <c r="G48" s="135">
        <f>'Разд 1.1 МЗ '!G45+'Разд 1.2 ИЦ'!G44+'Разд 1.3 ПДД'!G50</f>
        <v>800</v>
      </c>
      <c r="H48" s="135">
        <f>'Разд 1.1 МЗ '!H45+'Разд 1.2 ИЦ'!H44+'Разд 1.3 ПДД'!H50</f>
        <v>0</v>
      </c>
    </row>
    <row r="49" spans="1:8" ht="81.75" customHeight="1" x14ac:dyDescent="0.25">
      <c r="A49" s="149" t="s">
        <v>86</v>
      </c>
      <c r="B49" s="150" t="s">
        <v>87</v>
      </c>
      <c r="C49" s="151">
        <v>113</v>
      </c>
      <c r="D49" s="150"/>
      <c r="E49" s="152">
        <f>'Разд 1.1 МЗ '!E46+'Разд 1.2 ИЦ'!E45+'Разд 1.3 ПДД'!E51</f>
        <v>5528313</v>
      </c>
      <c r="F49" s="152">
        <f>'Разд 1.1 МЗ '!F46+'Разд 1.2 ИЦ'!F45+'Разд 1.3 ПДД'!F51</f>
        <v>9864647.3499999996</v>
      </c>
      <c r="G49" s="152">
        <f>'Разд 1.1 МЗ '!G46+'Разд 1.2 ИЦ'!G45+'Разд 1.3 ПДД'!G51</f>
        <v>10388194.699999999</v>
      </c>
      <c r="H49" s="152">
        <f>'Разд 1.1 МЗ '!H46+'Разд 1.2 ИЦ'!H45+'Разд 1.3 ПДД'!H51</f>
        <v>0</v>
      </c>
    </row>
    <row r="50" spans="1:8" ht="26.25" customHeight="1" outlineLevel="1" x14ac:dyDescent="0.25">
      <c r="A50" s="153"/>
      <c r="B50" s="150"/>
      <c r="C50" s="151">
        <v>113</v>
      </c>
      <c r="D50" s="150" t="s">
        <v>98</v>
      </c>
      <c r="E50" s="152">
        <f>'Разд 1.1 МЗ '!E47+'Разд 1.2 ИЦ'!E46+'Разд 1.3 ПДД'!E52</f>
        <v>0</v>
      </c>
      <c r="F50" s="152">
        <f>'Разд 1.1 МЗ '!F47+'Разд 1.2 ИЦ'!F46+'Разд 1.3 ПДД'!F52</f>
        <v>0</v>
      </c>
      <c r="G50" s="152">
        <f>'Разд 1.1 МЗ '!G47+'Разд 1.2 ИЦ'!G46+'Разд 1.3 ПДД'!G52</f>
        <v>0</v>
      </c>
      <c r="H50" s="152">
        <f>'Разд 1.1 МЗ '!H47+'Разд 1.2 ИЦ'!H46+'Разд 1.3 ПДД'!H52</f>
        <v>0</v>
      </c>
    </row>
    <row r="51" spans="1:8" ht="27.75" customHeight="1" outlineLevel="1" x14ac:dyDescent="0.25">
      <c r="A51" s="153"/>
      <c r="B51" s="150"/>
      <c r="C51" s="151">
        <v>113</v>
      </c>
      <c r="D51" s="150" t="s">
        <v>99</v>
      </c>
      <c r="E51" s="152">
        <f>'Разд 1.1 МЗ '!E48+'Разд 1.2 ИЦ'!E47+'Разд 1.3 ПДД'!E53</f>
        <v>5528313</v>
      </c>
      <c r="F51" s="152">
        <f>'Разд 1.1 МЗ '!F48+'Разд 1.2 ИЦ'!F47+'Разд 1.3 ПДД'!F53</f>
        <v>9864647.3499999996</v>
      </c>
      <c r="G51" s="152">
        <f>'Разд 1.1 МЗ '!G48+'Разд 1.2 ИЦ'!G47+'Разд 1.3 ПДД'!G53</f>
        <v>10388194.699999999</v>
      </c>
      <c r="H51" s="152">
        <f>'Разд 1.1 МЗ '!H48+'Разд 1.2 ИЦ'!H47+'Разд 1.3 ПДД'!H53</f>
        <v>0</v>
      </c>
    </row>
    <row r="52" spans="1:8" ht="93" customHeight="1" x14ac:dyDescent="0.25">
      <c r="A52" s="149" t="s">
        <v>88</v>
      </c>
      <c r="B52" s="150" t="s">
        <v>89</v>
      </c>
      <c r="C52" s="151">
        <v>119</v>
      </c>
      <c r="D52" s="150"/>
      <c r="E52" s="152">
        <f>'Разд 1.1 МЗ '!E49+'Разд 1.2 ИЦ'!E48+'Разд 1.3 ПДД'!E54</f>
        <v>31630311.18</v>
      </c>
      <c r="F52" s="152">
        <f>'Разд 1.1 МЗ '!F49+'Разд 1.2 ИЦ'!F48+'Разд 1.3 ПДД'!F54</f>
        <v>32322953.399999999</v>
      </c>
      <c r="G52" s="152">
        <f>'Разд 1.1 МЗ '!G49+'Разд 1.2 ИЦ'!G48+'Разд 1.3 ПДД'!G54</f>
        <v>32322953.399999999</v>
      </c>
      <c r="H52" s="152">
        <f>'Разд 1.1 МЗ '!H49+'Разд 1.2 ИЦ'!H48+'Разд 1.3 ПДД'!H54</f>
        <v>0</v>
      </c>
    </row>
    <row r="53" spans="1:8" ht="17.25" customHeight="1" x14ac:dyDescent="0.25">
      <c r="A53" s="52" t="s">
        <v>2</v>
      </c>
      <c r="B53" s="133"/>
      <c r="C53" s="12"/>
      <c r="D53" s="133"/>
      <c r="E53" s="135"/>
      <c r="F53" s="135"/>
      <c r="G53" s="135"/>
      <c r="H53" s="135"/>
    </row>
    <row r="54" spans="1:8" ht="26.25" customHeight="1" x14ac:dyDescent="0.25">
      <c r="A54" s="52" t="s">
        <v>91</v>
      </c>
      <c r="B54" s="133" t="s">
        <v>92</v>
      </c>
      <c r="C54" s="12">
        <v>119</v>
      </c>
      <c r="D54" s="133" t="s">
        <v>100</v>
      </c>
      <c r="E54" s="135">
        <f>'Разд 1.1 МЗ '!E51+'Разд 1.2 ИЦ'!E50+'Разд 1.3 ПДД'!E56</f>
        <v>31630311.18</v>
      </c>
      <c r="F54" s="135">
        <f>'Разд 1.1 МЗ '!F51+'Разд 1.2 ИЦ'!F50+'Разд 1.3 ПДД'!F56</f>
        <v>32322953.399999999</v>
      </c>
      <c r="G54" s="135">
        <f>'Разд 1.1 МЗ '!G51+'Разд 1.2 ИЦ'!G50+'Разд 1.3 ПДД'!G56</f>
        <v>32322953.399999999</v>
      </c>
      <c r="H54" s="135">
        <f>'Разд 1.1 МЗ '!H51+'Разд 1.2 ИЦ'!H50+'Разд 1.3 ПДД'!H56</f>
        <v>0</v>
      </c>
    </row>
    <row r="55" spans="1:8" ht="27" customHeight="1" x14ac:dyDescent="0.25">
      <c r="A55" s="52" t="s">
        <v>90</v>
      </c>
      <c r="B55" s="133" t="s">
        <v>93</v>
      </c>
      <c r="C55" s="12">
        <v>119</v>
      </c>
      <c r="D55" s="133"/>
      <c r="E55" s="135">
        <f>'Разд 1.1 МЗ '!E53+'Разд 1.2 ИЦ'!E51+'Разд 1.3 ПДД'!E57</f>
        <v>0</v>
      </c>
      <c r="F55" s="135">
        <f>'Разд 1.1 МЗ '!F53+'Разд 1.2 ИЦ'!F51+'Разд 1.3 ПДД'!F57</f>
        <v>0</v>
      </c>
      <c r="G55" s="135">
        <f>'Разд 1.1 МЗ '!G53+'Разд 1.2 ИЦ'!G51+'Разд 1.3 ПДД'!G57</f>
        <v>0</v>
      </c>
      <c r="H55" s="135">
        <f>'Разд 1.1 МЗ '!H53+'Разд 1.2 ИЦ'!H51+'Разд 1.3 ПДД'!H57</f>
        <v>0</v>
      </c>
    </row>
    <row r="56" spans="1:8" ht="50.25" customHeight="1" x14ac:dyDescent="0.25">
      <c r="A56" s="149" t="s">
        <v>101</v>
      </c>
      <c r="B56" s="154" t="s">
        <v>102</v>
      </c>
      <c r="C56" s="151">
        <v>300</v>
      </c>
      <c r="D56" s="150"/>
      <c r="E56" s="152">
        <f>'Разд 1.1 МЗ '!E54+'Разд 1.2 ИЦ'!E52+'Разд 1.3 ПДД'!E58</f>
        <v>0</v>
      </c>
      <c r="F56" s="152">
        <f>'Разд 1.1 МЗ '!F54+'Разд 1.2 ИЦ'!F52+'Разд 1.3 ПДД'!F58</f>
        <v>0</v>
      </c>
      <c r="G56" s="152">
        <f>'Разд 1.1 МЗ '!G54+'Разд 1.2 ИЦ'!G52+'Разд 1.3 ПДД'!G58</f>
        <v>0</v>
      </c>
      <c r="H56" s="152">
        <f>'Разд 1.1 МЗ '!H54+'Разд 1.2 ИЦ'!H52+'Разд 1.3 ПДД'!H58</f>
        <v>0</v>
      </c>
    </row>
    <row r="57" spans="1:8" ht="51.75" customHeight="1" x14ac:dyDescent="0.25">
      <c r="A57" s="52" t="s">
        <v>103</v>
      </c>
      <c r="B57" s="133" t="s">
        <v>104</v>
      </c>
      <c r="C57" s="12">
        <v>321</v>
      </c>
      <c r="D57" s="133" t="s">
        <v>105</v>
      </c>
      <c r="E57" s="135">
        <f>'Разд 1.1 МЗ '!E55+'Разд 1.2 ИЦ'!E53+'Разд 1.3 ПДД'!E59</f>
        <v>0</v>
      </c>
      <c r="F57" s="135">
        <f>'Разд 1.1 МЗ '!F55+'Разд 1.2 ИЦ'!F53+'Разд 1.3 ПДД'!F59</f>
        <v>0</v>
      </c>
      <c r="G57" s="135">
        <f>'Разд 1.1 МЗ '!G55+'Разд 1.2 ИЦ'!G53+'Разд 1.3 ПДД'!G59</f>
        <v>0</v>
      </c>
      <c r="H57" s="135">
        <f>'Разд 1.1 МЗ '!H55+'Разд 1.2 ИЦ'!H53+'Разд 1.3 ПДД'!H59</f>
        <v>0</v>
      </c>
    </row>
    <row r="58" spans="1:8" ht="41.25" customHeight="1" x14ac:dyDescent="0.25">
      <c r="A58" s="153" t="s">
        <v>106</v>
      </c>
      <c r="B58" s="150" t="s">
        <v>107</v>
      </c>
      <c r="C58" s="151">
        <v>850</v>
      </c>
      <c r="D58" s="150"/>
      <c r="E58" s="152">
        <f>'Разд 1.1 МЗ '!E56+'Разд 1.2 ИЦ'!E54+'Разд 1.3 ПДД'!E60</f>
        <v>7636921.7199999997</v>
      </c>
      <c r="F58" s="152">
        <f>'Разд 1.1 МЗ '!F56+'Разд 1.2 ИЦ'!F54+'Разд 1.3 ПДД'!F60</f>
        <v>7442600</v>
      </c>
      <c r="G58" s="152">
        <f>'Разд 1.1 МЗ '!G56+'Разд 1.2 ИЦ'!G54+'Разд 1.3 ПДД'!G60</f>
        <v>7442600</v>
      </c>
      <c r="H58" s="152">
        <f>'Разд 1.1 МЗ '!H56+'Разд 1.2 ИЦ'!H54+'Разд 1.3 ПДД'!H60</f>
        <v>0</v>
      </c>
    </row>
    <row r="59" spans="1:8" ht="41.25" customHeight="1" x14ac:dyDescent="0.25">
      <c r="A59" s="52" t="s">
        <v>108</v>
      </c>
      <c r="B59" s="133" t="s">
        <v>109</v>
      </c>
      <c r="C59" s="12">
        <v>851</v>
      </c>
      <c r="D59" s="133" t="s">
        <v>114</v>
      </c>
      <c r="E59" s="135">
        <f>'Разд 1.1 МЗ '!E57+'Разд 1.2 ИЦ'!E55+'Разд 1.3 ПДД'!E61</f>
        <v>7414100</v>
      </c>
      <c r="F59" s="135">
        <f>'Разд 1.1 МЗ '!F57+'Разд 1.2 ИЦ'!F55+'Разд 1.3 ПДД'!F61</f>
        <v>7414100</v>
      </c>
      <c r="G59" s="135">
        <f>'Разд 1.1 МЗ '!G57+'Разд 1.2 ИЦ'!G55+'Разд 1.3 ПДД'!G61</f>
        <v>7414100</v>
      </c>
      <c r="H59" s="135">
        <f>'Разд 1.1 МЗ '!H57+'Разд 1.2 ИЦ'!H55+'Разд 1.3 ПДД'!H61</f>
        <v>0</v>
      </c>
    </row>
    <row r="60" spans="1:8" ht="30" customHeight="1" x14ac:dyDescent="0.25">
      <c r="A60" s="52" t="s">
        <v>110</v>
      </c>
      <c r="B60" s="133" t="s">
        <v>111</v>
      </c>
      <c r="C60" s="12">
        <v>852</v>
      </c>
      <c r="D60" s="133" t="s">
        <v>114</v>
      </c>
      <c r="E60" s="135">
        <f>'Разд 1.1 МЗ '!E58+'Разд 1.2 ИЦ'!E56+'Разд 1.3 ПДД'!E62</f>
        <v>33600</v>
      </c>
      <c r="F60" s="135">
        <f>'Разд 1.1 МЗ '!F58+'Разд 1.2 ИЦ'!F56+'Разд 1.3 ПДД'!F62</f>
        <v>28500</v>
      </c>
      <c r="G60" s="135">
        <f>'Разд 1.1 МЗ '!G58+'Разд 1.2 ИЦ'!G56+'Разд 1.3 ПДД'!G62</f>
        <v>28500</v>
      </c>
      <c r="H60" s="135">
        <f>'Разд 1.1 МЗ '!H58+'Разд 1.2 ИЦ'!H56+'Разд 1.3 ПДД'!H62</f>
        <v>0</v>
      </c>
    </row>
    <row r="61" spans="1:8" ht="25.5" customHeight="1" x14ac:dyDescent="0.25">
      <c r="A61" s="323" t="s">
        <v>112</v>
      </c>
      <c r="B61" s="133" t="s">
        <v>113</v>
      </c>
      <c r="C61" s="12">
        <v>853</v>
      </c>
      <c r="D61" s="133" t="s">
        <v>114</v>
      </c>
      <c r="E61" s="135">
        <f>'Разд 1.1 МЗ '!E59+'Разд 1.2 ИЦ'!E57+'Разд 1.3 ПДД'!E63</f>
        <v>0</v>
      </c>
      <c r="F61" s="135">
        <f>'Разд 1.1 МЗ '!F59+'Разд 1.2 ИЦ'!F57+'Разд 1.3 ПДД'!F63</f>
        <v>0</v>
      </c>
      <c r="G61" s="135">
        <f>'Разд 1.1 МЗ '!G59+'Разд 1.2 ИЦ'!G57+'Разд 1.3 ПДД'!G63</f>
        <v>0</v>
      </c>
      <c r="H61" s="135">
        <f>'Разд 1.1 МЗ '!H59+'Разд 1.2 ИЦ'!H57+'Разд 1.3 ПДД'!H63</f>
        <v>0</v>
      </c>
    </row>
    <row r="62" spans="1:8" ht="22.5" customHeight="1" x14ac:dyDescent="0.25">
      <c r="A62" s="324"/>
      <c r="B62" s="159"/>
      <c r="C62" s="12">
        <v>853</v>
      </c>
      <c r="D62" s="159" t="s">
        <v>231</v>
      </c>
      <c r="E62" s="135">
        <f>'Разд 1.3 ПДД'!E64</f>
        <v>0</v>
      </c>
      <c r="F62" s="135">
        <f>'Разд 1.3 ПДД'!F64</f>
        <v>0</v>
      </c>
      <c r="G62" s="135">
        <f>'Разд 1.3 ПДД'!G64</f>
        <v>0</v>
      </c>
      <c r="H62" s="135">
        <f>'Разд 1.3 ПДД'!H64</f>
        <v>0</v>
      </c>
    </row>
    <row r="63" spans="1:8" ht="21" customHeight="1" x14ac:dyDescent="0.25">
      <c r="A63" s="325"/>
      <c r="B63" s="159"/>
      <c r="C63" s="12">
        <v>853</v>
      </c>
      <c r="D63" s="159" t="s">
        <v>232</v>
      </c>
      <c r="E63" s="135">
        <f>'Разд 1.3 ПДД'!E65</f>
        <v>121880.56</v>
      </c>
      <c r="F63" s="135">
        <f>'Разд 1.3 ПДД'!F65</f>
        <v>0</v>
      </c>
      <c r="G63" s="135">
        <f>'Разд 1.3 ПДД'!G65</f>
        <v>0</v>
      </c>
      <c r="H63" s="135">
        <f>'Разд 1.3 ПДД'!H65</f>
        <v>0</v>
      </c>
    </row>
    <row r="64" spans="1:8" ht="26.25" customHeight="1" x14ac:dyDescent="0.25">
      <c r="A64" s="326" t="s">
        <v>211</v>
      </c>
      <c r="B64" s="133" t="s">
        <v>209</v>
      </c>
      <c r="C64" s="12">
        <v>831</v>
      </c>
      <c r="D64" s="133" t="s">
        <v>210</v>
      </c>
      <c r="E64" s="135">
        <f>'Разд 1.3 ПДД'!E66</f>
        <v>67341.16</v>
      </c>
      <c r="F64" s="135">
        <f>'Разд 1.3 ПДД'!F66</f>
        <v>0</v>
      </c>
      <c r="G64" s="135">
        <f>'Разд 1.3 ПДД'!G66</f>
        <v>0</v>
      </c>
      <c r="H64" s="135"/>
    </row>
    <row r="65" spans="1:8" ht="22.5" customHeight="1" x14ac:dyDescent="0.25">
      <c r="A65" s="327"/>
      <c r="B65" s="159"/>
      <c r="C65" s="12">
        <v>831</v>
      </c>
      <c r="D65" s="159" t="s">
        <v>216</v>
      </c>
      <c r="E65" s="135">
        <f>'Разд 1.3 ПДД'!E67</f>
        <v>0</v>
      </c>
      <c r="F65" s="135">
        <f>'Разд 1.3 ПДД'!F67</f>
        <v>0</v>
      </c>
      <c r="G65" s="135">
        <f>'Разд 1.3 ПДД'!G67</f>
        <v>0</v>
      </c>
      <c r="H65" s="135">
        <f>'Разд 1.3 ПДД'!H67</f>
        <v>0</v>
      </c>
    </row>
    <row r="66" spans="1:8" ht="48.75" customHeight="1" x14ac:dyDescent="0.25">
      <c r="A66" s="149" t="s">
        <v>24</v>
      </c>
      <c r="B66" s="150" t="s">
        <v>116</v>
      </c>
      <c r="C66" s="151" t="s">
        <v>47</v>
      </c>
      <c r="D66" s="150"/>
      <c r="E66" s="152">
        <f>'Разд 1.1 МЗ '!E60+'Разд 1.2 ИЦ'!E58+'Разд 1.3 ПДД'!E68</f>
        <v>38969773.880000003</v>
      </c>
      <c r="F66" s="152">
        <f>'Разд 1.1 МЗ '!F60+'Разд 1.2 ИЦ'!F58+'Разд 1.3 ПДД'!F68</f>
        <v>40098763.5</v>
      </c>
      <c r="G66" s="152">
        <f>'Разд 1.1 МЗ '!G60+'Разд 1.2 ИЦ'!G58+'Разд 1.3 ПДД'!G68</f>
        <v>44835563.5</v>
      </c>
      <c r="H66" s="152">
        <f>'Разд 1.1 МЗ '!H60+'Разд 1.2 ИЦ'!H58+'Разд 1.3 ПДД'!H68</f>
        <v>0</v>
      </c>
    </row>
    <row r="67" spans="1:8" ht="55.5" customHeight="1" x14ac:dyDescent="0.25">
      <c r="A67" s="149" t="s">
        <v>117</v>
      </c>
      <c r="B67" s="150" t="s">
        <v>115</v>
      </c>
      <c r="C67" s="151">
        <v>244</v>
      </c>
      <c r="D67" s="150"/>
      <c r="E67" s="152">
        <f>'Разд 1.1 МЗ '!E61+'Разд 1.2 ИЦ'!E59+'Разд 1.3 ПДД'!E69</f>
        <v>38969773.880000003</v>
      </c>
      <c r="F67" s="152">
        <f>'Разд 1.1 МЗ '!F61+'Разд 1.2 ИЦ'!F59+'Разд 1.3 ПДД'!F69</f>
        <v>40098763.5</v>
      </c>
      <c r="G67" s="152">
        <f>'Разд 1.1 МЗ '!G61+'Разд 1.2 ИЦ'!G59+'Разд 1.3 ПДД'!G69</f>
        <v>44835563.5</v>
      </c>
      <c r="H67" s="152">
        <f>'Разд 1.1 МЗ '!H61+'Разд 1.2 ИЦ'!H59+'Разд 1.3 ПДД'!H69</f>
        <v>0</v>
      </c>
    </row>
    <row r="68" spans="1:8" ht="20.25" customHeight="1" x14ac:dyDescent="0.25">
      <c r="A68" s="52" t="s">
        <v>131</v>
      </c>
      <c r="B68" s="28"/>
      <c r="C68" s="11"/>
      <c r="D68" s="28"/>
      <c r="E68" s="135"/>
      <c r="F68" s="135"/>
      <c r="G68" s="135"/>
      <c r="H68" s="135"/>
    </row>
    <row r="69" spans="1:8" ht="32.25" customHeight="1" outlineLevel="1" x14ac:dyDescent="0.25">
      <c r="A69" s="4" t="s">
        <v>8</v>
      </c>
      <c r="B69" s="133"/>
      <c r="C69" s="12">
        <v>244</v>
      </c>
      <c r="D69" s="133" t="s">
        <v>118</v>
      </c>
      <c r="E69" s="135">
        <f>'Разд 1.1 МЗ '!E63+'Разд 1.2 ИЦ'!E61+'Разд 1.3 ПДД'!E71</f>
        <v>473800</v>
      </c>
      <c r="F69" s="135">
        <f>'Разд 1.1 МЗ '!F63+'Разд 1.2 ИЦ'!F61+'Разд 1.3 ПДД'!F71</f>
        <v>472900</v>
      </c>
      <c r="G69" s="135">
        <f>'Разд 1.1 МЗ '!G63+'Разд 1.2 ИЦ'!G61+'Разд 1.3 ПДД'!G71</f>
        <v>472900</v>
      </c>
      <c r="H69" s="135">
        <f>'Разд 1.1 МЗ '!H63+'Разд 1.2 ИЦ'!H61+'Разд 1.3 ПДД'!H71</f>
        <v>0</v>
      </c>
    </row>
    <row r="70" spans="1:8" ht="37.5" customHeight="1" outlineLevel="1" x14ac:dyDescent="0.25">
      <c r="A70" s="4" t="s">
        <v>9</v>
      </c>
      <c r="B70" s="133"/>
      <c r="C70" s="12">
        <v>244</v>
      </c>
      <c r="D70" s="133" t="s">
        <v>94</v>
      </c>
      <c r="E70" s="135">
        <f>'Разд 1.1 МЗ '!E64+'Разд 1.2 ИЦ'!E62+'Разд 1.3 ПДД'!E72</f>
        <v>52000</v>
      </c>
      <c r="F70" s="135">
        <f>'Разд 1.1 МЗ '!F64+'Разд 1.2 ИЦ'!F62+'Разд 1.3 ПДД'!F72</f>
        <v>0</v>
      </c>
      <c r="G70" s="135">
        <f>'Разд 1.1 МЗ '!G64+'Разд 1.2 ИЦ'!G62+'Разд 1.3 ПДД'!G72</f>
        <v>0</v>
      </c>
      <c r="H70" s="135">
        <f>'Разд 1.1 МЗ '!H64+'Разд 1.2 ИЦ'!H62+'Разд 1.3 ПДД'!H72</f>
        <v>0</v>
      </c>
    </row>
    <row r="71" spans="1:8" ht="41.25" customHeight="1" outlineLevel="1" x14ac:dyDescent="0.25">
      <c r="A71" s="4" t="s">
        <v>10</v>
      </c>
      <c r="B71" s="133"/>
      <c r="C71" s="12">
        <v>244</v>
      </c>
      <c r="D71" s="133" t="s">
        <v>119</v>
      </c>
      <c r="E71" s="135">
        <f>'Разд 1.1 МЗ '!E65+'Разд 1.2 ИЦ'!E63+'Разд 1.3 ПДД'!E73</f>
        <v>528818.69000000006</v>
      </c>
      <c r="F71" s="135">
        <f>'Разд 1.1 МЗ '!F65+'Разд 1.2 ИЦ'!F63+'Разд 1.3 ПДД'!F73</f>
        <v>450231</v>
      </c>
      <c r="G71" s="135">
        <f>'Разд 1.1 МЗ '!G65+'Разд 1.2 ИЦ'!G63+'Разд 1.3 ПДД'!G73</f>
        <v>450231</v>
      </c>
      <c r="H71" s="135">
        <f>'Разд 1.1 МЗ '!H65+'Разд 1.2 ИЦ'!H63+'Разд 1.3 ПДД'!H73</f>
        <v>0</v>
      </c>
    </row>
    <row r="72" spans="1:8" ht="38.25" customHeight="1" outlineLevel="1" x14ac:dyDescent="0.25">
      <c r="A72" s="4" t="s">
        <v>22</v>
      </c>
      <c r="B72" s="133"/>
      <c r="C72" s="12">
        <v>244</v>
      </c>
      <c r="D72" s="133" t="s">
        <v>120</v>
      </c>
      <c r="E72" s="135">
        <f>'Разд 1.1 МЗ '!E66+'Разд 1.2 ИЦ'!E64+'Разд 1.3 ПДД'!E74</f>
        <v>1305870</v>
      </c>
      <c r="F72" s="135">
        <f>'Разд 1.1 МЗ '!F66+'Разд 1.2 ИЦ'!F64+'Разд 1.3 ПДД'!F74</f>
        <v>276301.5</v>
      </c>
      <c r="G72" s="135">
        <f>'Разд 1.1 МЗ '!G66+'Разд 1.2 ИЦ'!G64+'Разд 1.3 ПДД'!G74</f>
        <v>276301.5</v>
      </c>
      <c r="H72" s="135">
        <f>'Разд 1.1 МЗ '!H66+'Разд 1.2 ИЦ'!H64+'Разд 1.3 ПДД'!H74</f>
        <v>0</v>
      </c>
    </row>
    <row r="73" spans="1:8" ht="42" customHeight="1" outlineLevel="1" x14ac:dyDescent="0.25">
      <c r="A73" s="4" t="s">
        <v>11</v>
      </c>
      <c r="B73" s="133"/>
      <c r="C73" s="12">
        <v>244</v>
      </c>
      <c r="D73" s="133" t="s">
        <v>121</v>
      </c>
      <c r="E73" s="135">
        <f>'Разд 1.1 МЗ '!E67+'Разд 1.2 ИЦ'!E65+'Разд 1.3 ПДД'!E75</f>
        <v>7304230.8300000001</v>
      </c>
      <c r="F73" s="135">
        <f>'Разд 1.1 МЗ '!F67+'Разд 1.2 ИЦ'!F65+'Разд 1.3 ПДД'!F75</f>
        <v>6052596</v>
      </c>
      <c r="G73" s="135">
        <f>'Разд 1.1 МЗ '!G67+'Разд 1.2 ИЦ'!G65+'Разд 1.3 ПДД'!G75</f>
        <v>6052596</v>
      </c>
      <c r="H73" s="135">
        <f>'Разд 1.1 МЗ '!H67+'Разд 1.2 ИЦ'!H65+'Разд 1.3 ПДД'!H75</f>
        <v>0</v>
      </c>
    </row>
    <row r="74" spans="1:8" ht="36" customHeight="1" outlineLevel="1" x14ac:dyDescent="0.25">
      <c r="A74" s="4" t="s">
        <v>12</v>
      </c>
      <c r="B74" s="133"/>
      <c r="C74" s="12">
        <v>244</v>
      </c>
      <c r="D74" s="133" t="s">
        <v>99</v>
      </c>
      <c r="E74" s="135">
        <f>'Разд 1.1 МЗ '!E68+'Разд 1.2 ИЦ'!E66+'Разд 1.3 ПДД'!E76</f>
        <v>9571189.0800000019</v>
      </c>
      <c r="F74" s="135">
        <f>'Разд 1.1 МЗ '!F68+'Разд 1.2 ИЦ'!F66+'Разд 1.3 ПДД'!F76</f>
        <v>10494745</v>
      </c>
      <c r="G74" s="135">
        <f>'Разд 1.1 МЗ '!G68+'Разд 1.2 ИЦ'!G66+'Разд 1.3 ПДД'!G76</f>
        <v>10494745</v>
      </c>
      <c r="H74" s="135">
        <f>'Разд 1.1 МЗ '!H68+'Разд 1.2 ИЦ'!H66+'Разд 1.3 ПДД'!H76</f>
        <v>0</v>
      </c>
    </row>
    <row r="75" spans="1:8" ht="36" customHeight="1" outlineLevel="1" x14ac:dyDescent="0.25">
      <c r="A75" s="4" t="s">
        <v>30</v>
      </c>
      <c r="B75" s="133"/>
      <c r="C75" s="12">
        <v>244</v>
      </c>
      <c r="D75" s="133" t="s">
        <v>122</v>
      </c>
      <c r="E75" s="135">
        <f>'Разд 1.1 МЗ '!E69+'Разд 1.2 ИЦ'!E67+'Разд 1.3 ПДД'!E77</f>
        <v>29967.34</v>
      </c>
      <c r="F75" s="135">
        <f>'Разд 1.1 МЗ '!F69+'Разд 1.2 ИЦ'!F67+'Разд 1.3 ПДД'!F77</f>
        <v>25309.360000000001</v>
      </c>
      <c r="G75" s="135">
        <f>'Разд 1.1 МЗ '!G69+'Разд 1.2 ИЦ'!G67+'Разд 1.3 ПДД'!G77</f>
        <v>25309.360000000001</v>
      </c>
      <c r="H75" s="135">
        <f>'Разд 1.1 МЗ '!H69+'Разд 1.2 ИЦ'!H67+'Разд 1.3 ПДД'!H77</f>
        <v>0</v>
      </c>
    </row>
    <row r="76" spans="1:8" ht="37.5" customHeight="1" outlineLevel="1" x14ac:dyDescent="0.25">
      <c r="A76" s="4" t="s">
        <v>31</v>
      </c>
      <c r="B76" s="133"/>
      <c r="C76" s="12">
        <v>244</v>
      </c>
      <c r="D76" s="133" t="s">
        <v>123</v>
      </c>
      <c r="E76" s="135">
        <f>'Разд 1.1 МЗ '!E70+'Разд 1.2 ИЦ'!E68+'Разд 1.3 ПДД'!E78</f>
        <v>93437.9</v>
      </c>
      <c r="F76" s="135">
        <f>'Разд 1.1 МЗ '!F70+'Разд 1.2 ИЦ'!F68+'Разд 1.3 ПДД'!F78</f>
        <v>142105.25</v>
      </c>
      <c r="G76" s="135">
        <f>'Разд 1.1 МЗ '!G70+'Разд 1.2 ИЦ'!G68+'Разд 1.3 ПДД'!G78</f>
        <v>142105.25</v>
      </c>
      <c r="H76" s="135">
        <f>'Разд 1.1 МЗ '!H70+'Разд 1.2 ИЦ'!H68+'Разд 1.3 ПДД'!H78</f>
        <v>0</v>
      </c>
    </row>
    <row r="77" spans="1:8" ht="30.75" customHeight="1" outlineLevel="1" x14ac:dyDescent="0.25">
      <c r="A77" s="4" t="s">
        <v>13</v>
      </c>
      <c r="B77" s="133"/>
      <c r="C77" s="12">
        <v>244</v>
      </c>
      <c r="D77" s="28" t="s">
        <v>124</v>
      </c>
      <c r="E77" s="135">
        <f>'Разд 1.1 МЗ '!E72+'Разд 1.2 ИЦ'!E69+'Разд 1.3 ПДД'!E79</f>
        <v>4518534.97</v>
      </c>
      <c r="F77" s="135">
        <f>'Разд 1.1 МЗ '!F72+'Разд 1.2 ИЦ'!F69+'Разд 1.3 ПДД'!F79</f>
        <v>6078315.8000000007</v>
      </c>
      <c r="G77" s="135">
        <f>'Разд 1.1 МЗ '!G72+'Разд 1.2 ИЦ'!G69+'Разд 1.3 ПДД'!G79</f>
        <v>8710157.9000000004</v>
      </c>
      <c r="H77" s="135">
        <f>'Разд 1.1 МЗ '!H72+'Разд 1.2 ИЦ'!H69+'Разд 1.3 ПДД'!H79</f>
        <v>0</v>
      </c>
    </row>
    <row r="78" spans="1:8" ht="34.5" customHeight="1" outlineLevel="1" x14ac:dyDescent="0.25">
      <c r="A78" s="4" t="s">
        <v>32</v>
      </c>
      <c r="B78" s="133"/>
      <c r="C78" s="12">
        <v>244</v>
      </c>
      <c r="D78" s="133" t="s">
        <v>125</v>
      </c>
      <c r="E78" s="135">
        <f>'Разд 1.1 МЗ '!E73+'Разд 1.2 ИЦ'!E70+'Разд 1.3 ПДД'!E80</f>
        <v>92241.5</v>
      </c>
      <c r="F78" s="135">
        <f>'Разд 1.1 МЗ '!F73+'Разд 1.2 ИЦ'!F70+'Разд 1.3 ПДД'!F80</f>
        <v>0</v>
      </c>
      <c r="G78" s="135">
        <f>'Разд 1.1 МЗ '!G73+'Разд 1.2 ИЦ'!G70+'Разд 1.3 ПДД'!G80</f>
        <v>0</v>
      </c>
      <c r="H78" s="135">
        <f>'Разд 1.1 МЗ '!H73+'Разд 1.2 ИЦ'!H70+'Разд 1.3 ПДД'!H80</f>
        <v>0</v>
      </c>
    </row>
    <row r="79" spans="1:8" ht="29.25" customHeight="1" outlineLevel="1" x14ac:dyDescent="0.25">
      <c r="A79" s="4" t="s">
        <v>25</v>
      </c>
      <c r="B79" s="133"/>
      <c r="C79" s="12">
        <v>244</v>
      </c>
      <c r="D79" s="133" t="s">
        <v>126</v>
      </c>
      <c r="E79" s="135">
        <f>'Разд 1.1 МЗ '!E74+'Разд 1.2 ИЦ'!E71+'Разд 1.3 ПДД'!E81</f>
        <v>665708.81000000006</v>
      </c>
      <c r="F79" s="135">
        <f>'Разд 1.1 МЗ '!F74+'Разд 1.2 ИЦ'!F71+'Разд 1.3 ПДД'!F81</f>
        <v>734036</v>
      </c>
      <c r="G79" s="135">
        <f>'Разд 1.1 МЗ '!G74+'Разд 1.2 ИЦ'!G71+'Разд 1.3 ПДД'!G81</f>
        <v>734036</v>
      </c>
      <c r="H79" s="135">
        <f>'Разд 1.1 МЗ '!H74+'Разд 1.2 ИЦ'!H71+'Разд 1.3 ПДД'!H81</f>
        <v>0</v>
      </c>
    </row>
    <row r="80" spans="1:8" ht="24" customHeight="1" outlineLevel="1" x14ac:dyDescent="0.25">
      <c r="A80" s="4" t="s">
        <v>26</v>
      </c>
      <c r="B80" s="133"/>
      <c r="C80" s="12">
        <v>244</v>
      </c>
      <c r="D80" s="133" t="s">
        <v>127</v>
      </c>
      <c r="E80" s="135">
        <f>'Разд 1.1 МЗ '!E75+'Разд 1.2 ИЦ'!E72+'Разд 1.3 ПДД'!E82</f>
        <v>247092</v>
      </c>
      <c r="F80" s="135">
        <f>'Разд 1.1 МЗ '!F75+'Разд 1.2 ИЦ'!F72+'Разд 1.3 ПДД'!F82</f>
        <v>0</v>
      </c>
      <c r="G80" s="135">
        <f>'Разд 1.1 МЗ '!G75+'Разд 1.2 ИЦ'!G72+'Разд 1.3 ПДД'!G82</f>
        <v>0</v>
      </c>
      <c r="H80" s="135">
        <f>'Разд 1.1 МЗ '!H75+'Разд 1.2 ИЦ'!H72+'Разд 1.3 ПДД'!H82</f>
        <v>0</v>
      </c>
    </row>
    <row r="81" spans="1:8" ht="18.75" customHeight="1" outlineLevel="1" x14ac:dyDescent="0.25">
      <c r="A81" s="4" t="s">
        <v>27</v>
      </c>
      <c r="B81" s="133"/>
      <c r="C81" s="12">
        <v>244</v>
      </c>
      <c r="D81" s="133" t="s">
        <v>128</v>
      </c>
      <c r="E81" s="135">
        <f>'Разд 1.1 МЗ '!E76+'Разд 1.2 ИЦ'!E73+'Разд 1.3 ПДД'!E83</f>
        <v>2061291.12</v>
      </c>
      <c r="F81" s="135">
        <f>'Разд 1.1 МЗ '!F76+'Разд 1.2 ИЦ'!F73+'Разд 1.3 ПДД'!F83</f>
        <v>2437023.15</v>
      </c>
      <c r="G81" s="135">
        <f>'Разд 1.1 МЗ '!G76+'Разд 1.2 ИЦ'!G73+'Разд 1.3 ПДД'!G83</f>
        <v>3755970.55</v>
      </c>
      <c r="H81" s="135">
        <f>'Разд 1.1 МЗ '!H76+'Разд 1.2 ИЦ'!H73+'Разд 1.3 ПДД'!H83</f>
        <v>0</v>
      </c>
    </row>
    <row r="82" spans="1:8" ht="40.5" customHeight="1" outlineLevel="1" x14ac:dyDescent="0.25">
      <c r="A82" s="4" t="s">
        <v>28</v>
      </c>
      <c r="B82" s="133"/>
      <c r="C82" s="12">
        <v>244</v>
      </c>
      <c r="D82" s="133" t="s">
        <v>129</v>
      </c>
      <c r="E82" s="135">
        <f>'Разд 1.1 МЗ '!E77+'Разд 1.2 ИЦ'!E74+'Разд 1.3 ПДД'!E84</f>
        <v>1962954.9299999997</v>
      </c>
      <c r="F82" s="135">
        <f>'Разд 1.1 МЗ '!F77+'Разд 1.2 ИЦ'!F74+'Разд 1.3 ПДД'!F84</f>
        <v>1298212.6499999999</v>
      </c>
      <c r="G82" s="135">
        <f>'Разд 1.1 МЗ '!G77+'Разд 1.2 ИЦ'!G74+'Разд 1.3 ПДД'!G84</f>
        <v>2084223.15</v>
      </c>
      <c r="H82" s="135">
        <f>'Разд 1.1 МЗ '!H77+'Разд 1.2 ИЦ'!H74+'Разд 1.3 ПДД'!H84</f>
        <v>0</v>
      </c>
    </row>
    <row r="83" spans="1:8" ht="37.5" outlineLevel="1" x14ac:dyDescent="0.25">
      <c r="A83" s="4" t="s">
        <v>29</v>
      </c>
      <c r="B83" s="133"/>
      <c r="C83" s="12">
        <v>244</v>
      </c>
      <c r="D83" s="133" t="s">
        <v>130</v>
      </c>
      <c r="E83" s="135">
        <f>'Разд 1.1 МЗ '!E78+'Разд 1.2 ИЦ'!E76+'Разд 1.3 ПДД'!E86</f>
        <v>536112.44000000006</v>
      </c>
      <c r="F83" s="135">
        <f>'Разд 1.1 МЗ '!F78+'Разд 1.2 ИЦ'!F76+'Разд 1.3 ПДД'!F86</f>
        <v>115380</v>
      </c>
      <c r="G83" s="135">
        <f>'Разд 1.1 МЗ '!G78+'Разд 1.2 ИЦ'!G76+'Разд 1.3 ПДД'!G86</f>
        <v>115380</v>
      </c>
      <c r="H83" s="135">
        <f>'Разд 1.1 МЗ '!H78+'Разд 1.2 ИЦ'!H76+'Разд 1.3 ПДД'!H86</f>
        <v>0</v>
      </c>
    </row>
    <row r="84" spans="1:8" ht="24.75" customHeight="1" outlineLevel="1" x14ac:dyDescent="0.25">
      <c r="A84" s="4" t="s">
        <v>10</v>
      </c>
      <c r="B84" s="160" t="s">
        <v>133</v>
      </c>
      <c r="C84" s="12">
        <v>247</v>
      </c>
      <c r="D84" s="160" t="s">
        <v>119</v>
      </c>
      <c r="E84" s="135">
        <f>'Разд 1.1 МЗ '!E79+'Разд 1.3 ПДД'!E87</f>
        <v>9466914.2700000014</v>
      </c>
      <c r="F84" s="135">
        <f>'Разд 1.1 МЗ '!F79+'Разд 1.3 ПДД'!F87</f>
        <v>11236344.640000001</v>
      </c>
      <c r="G84" s="135">
        <f>'Разд 1.1 МЗ '!G79+'Разд 1.3 ПДД'!G87</f>
        <v>11236344.640000001</v>
      </c>
      <c r="H84" s="135">
        <f>'Разд 1.1 МЗ '!H79+'Разд 1.3 ПДД'!H87</f>
        <v>0</v>
      </c>
    </row>
    <row r="85" spans="1:8" ht="24.75" customHeight="1" outlineLevel="1" x14ac:dyDescent="0.25">
      <c r="A85" s="4" t="s">
        <v>266</v>
      </c>
      <c r="B85" s="200" t="s">
        <v>238</v>
      </c>
      <c r="C85" s="12">
        <v>410</v>
      </c>
      <c r="D85" s="200"/>
      <c r="E85" s="135"/>
      <c r="F85" s="135"/>
      <c r="G85" s="135"/>
      <c r="H85" s="135"/>
    </row>
    <row r="86" spans="1:8" ht="33.75" customHeight="1" x14ac:dyDescent="0.25">
      <c r="A86" s="4" t="s">
        <v>132</v>
      </c>
      <c r="B86" s="133" t="s">
        <v>238</v>
      </c>
      <c r="C86" s="12">
        <v>400</v>
      </c>
      <c r="D86" s="133"/>
      <c r="E86" s="135">
        <f>'Разд 1.1 МЗ '!E81+'Разд 1.2 ИЦ'!E77+'Разд 1.3 ПДД'!E89</f>
        <v>0</v>
      </c>
      <c r="F86" s="135">
        <f>'Разд 1.1 МЗ '!F81+'Разд 1.2 ИЦ'!F77+'Разд 1.3 ПДД'!F89</f>
        <v>0</v>
      </c>
      <c r="G86" s="135">
        <f>'Разд 1.1 МЗ '!G81+'Разд 1.2 ИЦ'!G77+'Разд 1.3 ПДД'!G89</f>
        <v>0</v>
      </c>
      <c r="H86" s="135">
        <f>'Разд 1.1 МЗ '!H81+'Разд 1.2 ИЦ'!H77+'Разд 1.3 ПДД'!H89</f>
        <v>0</v>
      </c>
    </row>
    <row r="87" spans="1:8" ht="36.75" customHeight="1" x14ac:dyDescent="0.25">
      <c r="A87" s="4" t="s">
        <v>135</v>
      </c>
      <c r="B87" s="133" t="s">
        <v>239</v>
      </c>
      <c r="C87" s="12">
        <v>406</v>
      </c>
      <c r="D87" s="133"/>
      <c r="E87" s="135">
        <f>'Разд 1.1 МЗ '!E82+'Разд 1.2 ИЦ'!E78+'Разд 1.3 ПДД'!E90</f>
        <v>0</v>
      </c>
      <c r="F87" s="135">
        <f>'Разд 1.1 МЗ '!F82+'Разд 1.2 ИЦ'!F78+'Разд 1.3 ПДД'!F90</f>
        <v>0</v>
      </c>
      <c r="G87" s="135">
        <f>'Разд 1.1 МЗ '!G82+'Разд 1.2 ИЦ'!G78+'Разд 1.3 ПДД'!G90</f>
        <v>0</v>
      </c>
      <c r="H87" s="135">
        <f>'Разд 1.1 МЗ '!H82+'Разд 1.2 ИЦ'!H78+'Разд 1.3 ПДД'!H90</f>
        <v>0</v>
      </c>
    </row>
    <row r="88" spans="1:8" ht="33.75" customHeight="1" x14ac:dyDescent="0.25">
      <c r="A88" s="4" t="s">
        <v>136</v>
      </c>
      <c r="B88" s="133" t="s">
        <v>240</v>
      </c>
      <c r="C88" s="12">
        <v>407</v>
      </c>
      <c r="D88" s="133"/>
      <c r="E88" s="135">
        <f>'Разд 1.1 МЗ '!E83+'Разд 1.2 ИЦ'!E79+'Разд 1.3 ПДД'!E91</f>
        <v>0</v>
      </c>
      <c r="F88" s="135">
        <f>'Разд 1.1 МЗ '!F83+'Разд 1.2 ИЦ'!F79+'Разд 1.3 ПДД'!F91</f>
        <v>0</v>
      </c>
      <c r="G88" s="135">
        <f>'Разд 1.1 МЗ '!G83+'Разд 1.2 ИЦ'!G79+'Разд 1.3 ПДД'!G91</f>
        <v>0</v>
      </c>
      <c r="H88" s="135">
        <f>'Разд 1.1 МЗ '!H83+'Разд 1.2 ИЦ'!H79+'Разд 1.3 ПДД'!H91</f>
        <v>0</v>
      </c>
    </row>
    <row r="89" spans="1:8" ht="24" customHeight="1" x14ac:dyDescent="0.25">
      <c r="A89" s="155" t="s">
        <v>138</v>
      </c>
      <c r="B89" s="156" t="s">
        <v>139</v>
      </c>
      <c r="C89" s="157">
        <v>100</v>
      </c>
      <c r="D89" s="156"/>
      <c r="E89" s="158">
        <f>'Разд 1.1 МЗ '!E84+'Разд 1.2 ИЦ'!E81+'Разд 1.3 ПДД'!E92</f>
        <v>0</v>
      </c>
      <c r="F89" s="158">
        <f>'Разд 1.1 МЗ '!F84+'Разд 1.2 ИЦ'!F81+'Разд 1.3 ПДД'!F92</f>
        <v>0</v>
      </c>
      <c r="G89" s="158">
        <f>'Разд 1.1 МЗ '!G84+'Разд 1.2 ИЦ'!G81+'Разд 1.3 ПДД'!G92</f>
        <v>0</v>
      </c>
      <c r="H89" s="158">
        <f>'Разд 1.1 МЗ '!H84+'Разд 1.2 ИЦ'!H81+'Разд 1.3 ПДД'!H92</f>
        <v>0</v>
      </c>
    </row>
    <row r="90" spans="1:8" ht="22.5" customHeight="1" x14ac:dyDescent="0.25">
      <c r="A90" s="4" t="s">
        <v>140</v>
      </c>
      <c r="B90" s="133" t="s">
        <v>143</v>
      </c>
      <c r="C90" s="12"/>
      <c r="D90" s="133"/>
      <c r="E90" s="135">
        <f>'Разд 1.1 МЗ '!E85+'Разд 1.2 ИЦ'!E82+'Разд 1.3 ПДД'!E93</f>
        <v>0</v>
      </c>
      <c r="F90" s="135">
        <f>'Разд 1.1 МЗ '!F85+'Разд 1.2 ИЦ'!F82+'Разд 1.3 ПДД'!F93</f>
        <v>0</v>
      </c>
      <c r="G90" s="135">
        <f>'Разд 1.1 МЗ '!G85+'Разд 1.2 ИЦ'!G82+'Разд 1.3 ПДД'!G93</f>
        <v>0</v>
      </c>
      <c r="H90" s="135">
        <f>'Разд 1.1 МЗ '!H85+'Разд 1.2 ИЦ'!H82+'Разд 1.3 ПДД'!H93</f>
        <v>0</v>
      </c>
    </row>
    <row r="91" spans="1:8" ht="23.25" customHeight="1" x14ac:dyDescent="0.25">
      <c r="A91" s="4" t="s">
        <v>141</v>
      </c>
      <c r="B91" s="133" t="s">
        <v>144</v>
      </c>
      <c r="C91" s="12"/>
      <c r="D91" s="133"/>
      <c r="E91" s="135">
        <f>'Разд 1.1 МЗ '!E86+'Разд 1.2 ИЦ'!E83+'Разд 1.3 ПДД'!E94</f>
        <v>0</v>
      </c>
      <c r="F91" s="135">
        <f>'Разд 1.1 МЗ '!F86+'Разд 1.2 ИЦ'!F83+'Разд 1.3 ПДД'!F94</f>
        <v>0</v>
      </c>
      <c r="G91" s="135">
        <f>'Разд 1.1 МЗ '!G86+'Разд 1.2 ИЦ'!G83+'Разд 1.3 ПДД'!G94</f>
        <v>0</v>
      </c>
      <c r="H91" s="135">
        <f>'Разд 1.1 МЗ '!H86+'Разд 1.2 ИЦ'!H83+'Разд 1.3 ПДД'!H94</f>
        <v>0</v>
      </c>
    </row>
    <row r="92" spans="1:8" ht="22.5" customHeight="1" x14ac:dyDescent="0.25">
      <c r="A92" s="4" t="s">
        <v>142</v>
      </c>
      <c r="B92" s="133" t="s">
        <v>145</v>
      </c>
      <c r="C92" s="12"/>
      <c r="D92" s="133"/>
      <c r="E92" s="135">
        <f>'Разд 1.1 МЗ '!E87+'Разд 1.2 ИЦ'!E84+'Разд 1.3 ПДД'!E95</f>
        <v>0</v>
      </c>
      <c r="F92" s="135">
        <f>'Разд 1.1 МЗ '!F87+'Разд 1.2 ИЦ'!F84+'Разд 1.3 ПДД'!F95</f>
        <v>0</v>
      </c>
      <c r="G92" s="135">
        <f>'Разд 1.1 МЗ '!G87+'Разд 1.2 ИЦ'!G84+'Разд 1.3 ПДД'!G95</f>
        <v>0</v>
      </c>
      <c r="H92" s="135">
        <f>'Разд 1.1 МЗ '!H87+'Разд 1.2 ИЦ'!H84+'Разд 1.3 ПДД'!H95</f>
        <v>0</v>
      </c>
    </row>
    <row r="93" spans="1:8" ht="22.5" customHeight="1" x14ac:dyDescent="0.25">
      <c r="A93" s="155" t="s">
        <v>146</v>
      </c>
      <c r="B93" s="156" t="s">
        <v>148</v>
      </c>
      <c r="C93" s="157" t="s">
        <v>47</v>
      </c>
      <c r="D93" s="156"/>
      <c r="E93" s="158">
        <f>'Разд 1.1 МЗ '!E88+'Разд 1.2 ИЦ'!E85+'Разд 1.3 ПДД'!E96</f>
        <v>0</v>
      </c>
      <c r="F93" s="158">
        <f>'Разд 1.1 МЗ '!F88+'Разд 1.2 ИЦ'!F85+'Разд 1.3 ПДД'!F96</f>
        <v>0</v>
      </c>
      <c r="G93" s="158">
        <f>'Разд 1.1 МЗ '!G88+'Разд 1.2 ИЦ'!G85+'Разд 1.3 ПДД'!G96</f>
        <v>0</v>
      </c>
      <c r="H93" s="158">
        <f>'Разд 1.1 МЗ '!H88+'Разд 1.2 ИЦ'!H85+'Разд 1.3 ПДД'!H96</f>
        <v>0</v>
      </c>
    </row>
    <row r="94" spans="1:8" ht="24" customHeight="1" x14ac:dyDescent="0.25">
      <c r="A94" s="4" t="s">
        <v>147</v>
      </c>
      <c r="B94" s="133" t="s">
        <v>149</v>
      </c>
      <c r="C94" s="12">
        <v>610</v>
      </c>
      <c r="D94" s="133"/>
      <c r="E94" s="135">
        <f>'Разд 1.1 МЗ '!E89+'Разд 1.2 ИЦ'!E86+'Разд 1.3 ПДД'!E97</f>
        <v>0</v>
      </c>
      <c r="F94" s="135">
        <f>'Разд 1.1 МЗ '!F89+'Разд 1.2 ИЦ'!F86+'Разд 1.3 ПДД'!F97</f>
        <v>0</v>
      </c>
      <c r="G94" s="135">
        <f>'Разд 1.1 МЗ '!G89+'Разд 1.2 ИЦ'!G86+'Разд 1.3 ПДД'!G97</f>
        <v>0</v>
      </c>
      <c r="H94" s="135">
        <f>'Разд 1.1 МЗ '!H89+'Разд 1.2 ИЦ'!H86+'Разд 1.3 ПДД'!H97</f>
        <v>0</v>
      </c>
    </row>
    <row r="97" spans="1:4" ht="23.25" x14ac:dyDescent="0.25">
      <c r="A97" s="78"/>
      <c r="D97" s="78"/>
    </row>
    <row r="98" spans="1:4" ht="23.25" x14ac:dyDescent="0.25">
      <c r="A98" s="77"/>
    </row>
    <row r="99" spans="1:4" ht="23.25" x14ac:dyDescent="0.25">
      <c r="A99" s="77"/>
    </row>
    <row r="100" spans="1:4" ht="23.25" x14ac:dyDescent="0.25">
      <c r="A100" s="78"/>
      <c r="D100" s="78"/>
    </row>
  </sheetData>
  <mergeCells count="8">
    <mergeCell ref="A61:A63"/>
    <mergeCell ref="A64:A65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5"/>
  <sheetViews>
    <sheetView view="pageBreakPreview" topLeftCell="A4" zoomScale="55" zoomScaleNormal="55" zoomScaleSheetLayoutView="55" workbookViewId="0">
      <selection activeCell="J16" sqref="J16"/>
    </sheetView>
  </sheetViews>
  <sheetFormatPr defaultRowHeight="18.75" outlineLevelRow="1" x14ac:dyDescent="0.25"/>
  <cols>
    <col min="1" max="1" width="65.5703125" style="201" customWidth="1"/>
    <col min="2" max="2" width="17" style="59" customWidth="1"/>
    <col min="3" max="3" width="18.85546875" style="201" customWidth="1"/>
    <col min="4" max="4" width="19.140625" style="59" customWidth="1"/>
    <col min="5" max="6" width="24.28515625" style="17" customWidth="1"/>
    <col min="7" max="7" width="27.42578125" style="17" customWidth="1"/>
    <col min="8" max="8" width="30.85546875" style="17" customWidth="1"/>
    <col min="9" max="9" width="20.7109375" style="39" hidden="1" customWidth="1"/>
    <col min="10" max="10" width="20" style="39" customWidth="1"/>
    <col min="11" max="11" width="20" style="39" hidden="1" customWidth="1"/>
    <col min="12" max="12" width="25.42578125" style="39" customWidth="1"/>
    <col min="13" max="13" width="19.85546875" style="201" customWidth="1"/>
    <col min="14" max="16384" width="9.140625" style="201"/>
  </cols>
  <sheetData>
    <row r="1" spans="1:13" x14ac:dyDescent="0.25">
      <c r="K1" s="202"/>
      <c r="L1" s="203"/>
      <c r="M1" s="204"/>
    </row>
    <row r="2" spans="1:13" ht="42.75" customHeight="1" x14ac:dyDescent="0.25">
      <c r="A2" s="334" t="s">
        <v>259</v>
      </c>
      <c r="B2" s="335"/>
      <c r="C2" s="335"/>
      <c r="D2" s="335"/>
      <c r="E2" s="335"/>
      <c r="F2" s="335"/>
      <c r="G2" s="335"/>
      <c r="H2" s="335"/>
      <c r="I2" s="205"/>
      <c r="J2" s="205"/>
      <c r="K2" s="206"/>
      <c r="L2" s="203"/>
      <c r="M2" s="204"/>
    </row>
    <row r="3" spans="1:13" ht="46.5" customHeight="1" x14ac:dyDescent="0.25">
      <c r="A3" s="207" t="s">
        <v>150</v>
      </c>
      <c r="I3" s="332"/>
      <c r="J3" s="332"/>
      <c r="K3" s="332"/>
      <c r="L3" s="332"/>
      <c r="M3" s="204"/>
    </row>
    <row r="4" spans="1:13" ht="31.5" customHeight="1" x14ac:dyDescent="0.25">
      <c r="A4" s="333" t="s">
        <v>0</v>
      </c>
      <c r="B4" s="336" t="s">
        <v>1</v>
      </c>
      <c r="C4" s="333" t="s">
        <v>157</v>
      </c>
      <c r="D4" s="336" t="s">
        <v>158</v>
      </c>
      <c r="E4" s="320" t="s">
        <v>78</v>
      </c>
      <c r="F4" s="321"/>
      <c r="G4" s="321"/>
      <c r="H4" s="322"/>
      <c r="I4" s="208" t="s">
        <v>212</v>
      </c>
      <c r="J4" s="331" t="s">
        <v>213</v>
      </c>
      <c r="K4" s="331"/>
      <c r="L4" s="292">
        <v>1101</v>
      </c>
    </row>
    <row r="5" spans="1:13" ht="173.25" customHeight="1" x14ac:dyDescent="0.25">
      <c r="A5" s="333"/>
      <c r="B5" s="336"/>
      <c r="C5" s="333"/>
      <c r="D5" s="336"/>
      <c r="E5" s="16" t="s">
        <v>269</v>
      </c>
      <c r="F5" s="16" t="s">
        <v>270</v>
      </c>
      <c r="G5" s="16" t="s">
        <v>271</v>
      </c>
      <c r="H5" s="209" t="s">
        <v>42</v>
      </c>
    </row>
    <row r="6" spans="1:13" ht="24" customHeight="1" x14ac:dyDescent="0.25">
      <c r="A6" s="293">
        <v>1</v>
      </c>
      <c r="B6" s="294">
        <v>2</v>
      </c>
      <c r="C6" s="293">
        <v>3</v>
      </c>
      <c r="D6" s="294">
        <v>4</v>
      </c>
      <c r="E6" s="293">
        <v>5</v>
      </c>
      <c r="F6" s="293">
        <v>6</v>
      </c>
      <c r="G6" s="293">
        <v>7</v>
      </c>
      <c r="H6" s="210">
        <v>8</v>
      </c>
      <c r="I6" s="39" t="s">
        <v>225</v>
      </c>
      <c r="J6" s="39" t="s">
        <v>225</v>
      </c>
      <c r="K6" s="39" t="s">
        <v>221</v>
      </c>
      <c r="L6" s="39" t="s">
        <v>225</v>
      </c>
    </row>
    <row r="7" spans="1:13" ht="51.75" customHeight="1" x14ac:dyDescent="0.25">
      <c r="A7" s="293" t="s">
        <v>43</v>
      </c>
      <c r="B7" s="294" t="s">
        <v>45</v>
      </c>
      <c r="C7" s="293" t="s">
        <v>6</v>
      </c>
      <c r="D7" s="294" t="s">
        <v>6</v>
      </c>
      <c r="E7" s="16">
        <f>E33-E9</f>
        <v>0</v>
      </c>
      <c r="F7" s="16">
        <f>F33-F9</f>
        <v>0</v>
      </c>
      <c r="G7" s="16">
        <f t="shared" ref="G7:K7" si="0">G33-G9</f>
        <v>0</v>
      </c>
      <c r="H7" s="209">
        <f t="shared" si="0"/>
        <v>0</v>
      </c>
      <c r="I7" s="209">
        <f t="shared" si="0"/>
        <v>0</v>
      </c>
      <c r="J7" s="209">
        <f t="shared" si="0"/>
        <v>0</v>
      </c>
      <c r="K7" s="209">
        <f t="shared" si="0"/>
        <v>0</v>
      </c>
      <c r="L7" s="16">
        <f>L33-L9</f>
        <v>0</v>
      </c>
    </row>
    <row r="8" spans="1:13" ht="50.25" customHeight="1" x14ac:dyDescent="0.25">
      <c r="A8" s="293" t="s">
        <v>44</v>
      </c>
      <c r="B8" s="294" t="s">
        <v>46</v>
      </c>
      <c r="C8" s="293" t="s">
        <v>6</v>
      </c>
      <c r="D8" s="294" t="s">
        <v>6</v>
      </c>
      <c r="E8" s="16"/>
      <c r="F8" s="16"/>
      <c r="G8" s="16"/>
      <c r="H8" s="209"/>
    </row>
    <row r="9" spans="1:13" ht="37.5" customHeight="1" x14ac:dyDescent="0.25">
      <c r="A9" s="211" t="s">
        <v>48</v>
      </c>
      <c r="B9" s="54" t="s">
        <v>49</v>
      </c>
      <c r="C9" s="212"/>
      <c r="D9" s="54"/>
      <c r="E9" s="32">
        <f>E11+E13+E18+E20+E22+E27</f>
        <v>174897577.78999999</v>
      </c>
      <c r="F9" s="32">
        <f>F11+F13+F18+F20+F22+F27</f>
        <v>175631800</v>
      </c>
      <c r="G9" s="32">
        <f t="shared" ref="G9" si="1">G11+G13+G18+G20+G22+G27</f>
        <v>175631800</v>
      </c>
      <c r="H9" s="32">
        <f t="shared" ref="H9:K9" si="2">H11+H13+H18+H20+H22+H27</f>
        <v>0</v>
      </c>
      <c r="I9" s="32">
        <f t="shared" si="2"/>
        <v>0</v>
      </c>
      <c r="J9" s="32">
        <f>J11+J13+J18+J20+J22+J27</f>
        <v>259477.79</v>
      </c>
      <c r="K9" s="32">
        <f t="shared" si="2"/>
        <v>0</v>
      </c>
      <c r="L9" s="32">
        <f>L11+L13+L18+L20+L22+L27</f>
        <v>174638100</v>
      </c>
    </row>
    <row r="10" spans="1:13" ht="19.5" customHeight="1" x14ac:dyDescent="0.25">
      <c r="A10" s="213" t="s">
        <v>23</v>
      </c>
      <c r="B10" s="294"/>
      <c r="C10" s="293"/>
      <c r="D10" s="294"/>
      <c r="E10" s="16"/>
      <c r="F10" s="16"/>
      <c r="G10" s="16"/>
      <c r="H10" s="209"/>
    </row>
    <row r="11" spans="1:13" ht="48.75" customHeight="1" x14ac:dyDescent="0.25">
      <c r="A11" s="214" t="s">
        <v>50</v>
      </c>
      <c r="B11" s="55" t="s">
        <v>51</v>
      </c>
      <c r="C11" s="215">
        <v>120</v>
      </c>
      <c r="D11" s="55"/>
      <c r="E11" s="37"/>
      <c r="F11" s="37"/>
      <c r="G11" s="37"/>
      <c r="H11" s="216"/>
    </row>
    <row r="12" spans="1:13" ht="36" customHeight="1" x14ac:dyDescent="0.25">
      <c r="A12" s="213" t="s">
        <v>23</v>
      </c>
      <c r="B12" s="294" t="s">
        <v>52</v>
      </c>
      <c r="C12" s="217"/>
      <c r="D12" s="294"/>
      <c r="E12" s="15"/>
      <c r="F12" s="15"/>
      <c r="G12" s="15"/>
      <c r="H12" s="218"/>
    </row>
    <row r="13" spans="1:13" ht="52.5" customHeight="1" x14ac:dyDescent="0.25">
      <c r="A13" s="214" t="s">
        <v>53</v>
      </c>
      <c r="B13" s="55" t="s">
        <v>54</v>
      </c>
      <c r="C13" s="215">
        <v>130</v>
      </c>
      <c r="D13" s="55"/>
      <c r="E13" s="37">
        <f>E15+E17+E16</f>
        <v>174897577.78999999</v>
      </c>
      <c r="F13" s="37">
        <f>F15+F17+F16</f>
        <v>175631800</v>
      </c>
      <c r="G13" s="37">
        <f>G15+G17+G16</f>
        <v>175631800</v>
      </c>
      <c r="H13" s="216">
        <f t="shared" ref="H13" si="3">H15+H17</f>
        <v>0</v>
      </c>
      <c r="I13" s="39">
        <f>I15</f>
        <v>0</v>
      </c>
      <c r="J13" s="39">
        <f>J16</f>
        <v>259477.79</v>
      </c>
      <c r="K13" s="39">
        <f t="shared" ref="K13:L13" si="4">K15</f>
        <v>0</v>
      </c>
      <c r="L13" s="39">
        <f t="shared" si="4"/>
        <v>174638100</v>
      </c>
    </row>
    <row r="14" spans="1:13" ht="31.5" customHeight="1" x14ac:dyDescent="0.25">
      <c r="A14" s="213" t="s">
        <v>55</v>
      </c>
      <c r="B14" s="294"/>
      <c r="C14" s="217"/>
      <c r="D14" s="294"/>
      <c r="E14" s="15"/>
      <c r="F14" s="15"/>
      <c r="G14" s="15"/>
      <c r="H14" s="218"/>
    </row>
    <row r="15" spans="1:13" ht="38.25" customHeight="1" x14ac:dyDescent="0.25">
      <c r="A15" s="219" t="s">
        <v>56</v>
      </c>
      <c r="B15" s="56" t="s">
        <v>58</v>
      </c>
      <c r="C15" s="220">
        <v>131</v>
      </c>
      <c r="D15" s="56"/>
      <c r="E15" s="44">
        <f>I15+J15+L15+K15</f>
        <v>174638100</v>
      </c>
      <c r="F15" s="44">
        <v>175631800</v>
      </c>
      <c r="G15" s="44">
        <f>F15</f>
        <v>175631800</v>
      </c>
      <c r="H15" s="221"/>
      <c r="J15" s="45"/>
      <c r="K15" s="45"/>
      <c r="L15" s="45">
        <f>173251500-1613400+3000000</f>
        <v>174638100</v>
      </c>
      <c r="M15" s="17"/>
    </row>
    <row r="16" spans="1:13" ht="38.25" customHeight="1" x14ac:dyDescent="0.25">
      <c r="A16" s="222" t="s">
        <v>248</v>
      </c>
      <c r="B16" s="223"/>
      <c r="C16" s="224"/>
      <c r="D16" s="223"/>
      <c r="E16" s="225">
        <f>I16+J16+L16+K16</f>
        <v>259477.79</v>
      </c>
      <c r="F16" s="225">
        <v>0</v>
      </c>
      <c r="G16" s="225">
        <v>0</v>
      </c>
      <c r="H16" s="223"/>
      <c r="J16" s="45">
        <f>448500-55151.67-107608.33-26262.21</f>
        <v>259477.79</v>
      </c>
      <c r="K16" s="45"/>
      <c r="L16" s="45"/>
      <c r="M16" s="17"/>
    </row>
    <row r="17" spans="1:12" ht="76.5" customHeight="1" x14ac:dyDescent="0.25">
      <c r="A17" s="226" t="s">
        <v>57</v>
      </c>
      <c r="B17" s="294" t="s">
        <v>59</v>
      </c>
      <c r="C17" s="217">
        <v>131</v>
      </c>
      <c r="D17" s="294"/>
      <c r="E17" s="16"/>
      <c r="F17" s="39"/>
      <c r="G17" s="16"/>
      <c r="H17" s="209"/>
    </row>
    <row r="18" spans="1:12" ht="39" customHeight="1" x14ac:dyDescent="0.25">
      <c r="A18" s="227" t="s">
        <v>60</v>
      </c>
      <c r="B18" s="55" t="s">
        <v>61</v>
      </c>
      <c r="C18" s="215">
        <v>140</v>
      </c>
      <c r="D18" s="55"/>
      <c r="E18" s="40"/>
      <c r="F18" s="40"/>
      <c r="G18" s="36"/>
      <c r="H18" s="228"/>
    </row>
    <row r="19" spans="1:12" ht="29.25" customHeight="1" x14ac:dyDescent="0.25">
      <c r="A19" s="226" t="s">
        <v>55</v>
      </c>
      <c r="B19" s="294" t="s">
        <v>63</v>
      </c>
      <c r="C19" s="217">
        <v>140</v>
      </c>
      <c r="D19" s="294"/>
      <c r="E19" s="39"/>
      <c r="F19" s="39"/>
      <c r="G19" s="16"/>
      <c r="H19" s="209"/>
    </row>
    <row r="20" spans="1:12" ht="39" customHeight="1" x14ac:dyDescent="0.25">
      <c r="A20" s="227" t="s">
        <v>73</v>
      </c>
      <c r="B20" s="55" t="s">
        <v>64</v>
      </c>
      <c r="C20" s="215">
        <v>150</v>
      </c>
      <c r="D20" s="55"/>
      <c r="E20" s="40"/>
      <c r="F20" s="40"/>
      <c r="G20" s="36"/>
      <c r="H20" s="228"/>
    </row>
    <row r="21" spans="1:12" ht="26.25" customHeight="1" x14ac:dyDescent="0.25">
      <c r="A21" s="226" t="s">
        <v>23</v>
      </c>
      <c r="B21" s="294"/>
      <c r="C21" s="217"/>
      <c r="D21" s="294"/>
      <c r="E21" s="39"/>
      <c r="F21" s="39"/>
      <c r="G21" s="16"/>
      <c r="H21" s="209"/>
    </row>
    <row r="22" spans="1:12" ht="39" customHeight="1" x14ac:dyDescent="0.25">
      <c r="A22" s="227" t="s">
        <v>74</v>
      </c>
      <c r="B22" s="55" t="s">
        <v>65</v>
      </c>
      <c r="C22" s="215">
        <v>180</v>
      </c>
      <c r="D22" s="55"/>
      <c r="E22" s="41">
        <f>E24+E25</f>
        <v>0</v>
      </c>
      <c r="F22" s="41">
        <f t="shared" ref="F22:H22" si="5">F24+F25</f>
        <v>0</v>
      </c>
      <c r="G22" s="41">
        <f t="shared" si="5"/>
        <v>0</v>
      </c>
      <c r="H22" s="229">
        <f t="shared" si="5"/>
        <v>0</v>
      </c>
    </row>
    <row r="23" spans="1:12" ht="22.5" customHeight="1" x14ac:dyDescent="0.25">
      <c r="A23" s="226" t="s">
        <v>55</v>
      </c>
      <c r="B23" s="294"/>
      <c r="C23" s="217"/>
      <c r="D23" s="294"/>
      <c r="E23" s="39"/>
      <c r="F23" s="39"/>
      <c r="G23" s="16"/>
      <c r="H23" s="209"/>
    </row>
    <row r="24" spans="1:12" ht="33" customHeight="1" x14ac:dyDescent="0.25">
      <c r="A24" s="226" t="s">
        <v>62</v>
      </c>
      <c r="B24" s="294" t="s">
        <v>66</v>
      </c>
      <c r="C24" s="217">
        <v>180</v>
      </c>
      <c r="D24" s="294" t="s">
        <v>153</v>
      </c>
      <c r="E24" s="39"/>
      <c r="F24" s="39"/>
      <c r="G24" s="16"/>
      <c r="H24" s="209"/>
    </row>
    <row r="25" spans="1:12" ht="31.5" customHeight="1" x14ac:dyDescent="0.25">
      <c r="A25" s="226" t="s">
        <v>3</v>
      </c>
      <c r="B25" s="294" t="s">
        <v>67</v>
      </c>
      <c r="C25" s="217">
        <v>180</v>
      </c>
      <c r="D25" s="294"/>
      <c r="E25" s="39"/>
      <c r="F25" s="39"/>
      <c r="G25" s="16"/>
      <c r="H25" s="209"/>
    </row>
    <row r="26" spans="1:12" ht="20.25" customHeight="1" x14ac:dyDescent="0.25">
      <c r="A26" s="226"/>
      <c r="B26" s="294"/>
      <c r="C26" s="217"/>
      <c r="D26" s="294"/>
      <c r="E26" s="39"/>
      <c r="F26" s="39"/>
      <c r="G26" s="16"/>
      <c r="H26" s="209"/>
    </row>
    <row r="27" spans="1:12" ht="39" customHeight="1" x14ac:dyDescent="0.25">
      <c r="A27" s="230" t="s">
        <v>75</v>
      </c>
      <c r="B27" s="294" t="s">
        <v>68</v>
      </c>
      <c r="C27" s="217"/>
      <c r="D27" s="294"/>
      <c r="E27" s="75">
        <f>E29+E30</f>
        <v>0</v>
      </c>
      <c r="F27" s="75">
        <f t="shared" ref="F27:L27" si="6">F29+F30</f>
        <v>0</v>
      </c>
      <c r="G27" s="75">
        <f t="shared" si="6"/>
        <v>0</v>
      </c>
      <c r="H27" s="75">
        <f t="shared" si="6"/>
        <v>0</v>
      </c>
      <c r="I27" s="75">
        <f t="shared" si="6"/>
        <v>0</v>
      </c>
      <c r="J27" s="75">
        <f t="shared" si="6"/>
        <v>0</v>
      </c>
      <c r="K27" s="75"/>
      <c r="L27" s="75">
        <f t="shared" si="6"/>
        <v>0</v>
      </c>
    </row>
    <row r="28" spans="1:12" ht="39" customHeight="1" x14ac:dyDescent="0.25">
      <c r="A28" s="226" t="s">
        <v>55</v>
      </c>
      <c r="B28" s="294"/>
      <c r="C28" s="217"/>
      <c r="D28" s="294"/>
      <c r="E28" s="39"/>
      <c r="F28" s="39"/>
      <c r="G28" s="16"/>
      <c r="H28" s="209"/>
    </row>
    <row r="29" spans="1:12" ht="18" customHeight="1" x14ac:dyDescent="0.25">
      <c r="A29" s="226"/>
      <c r="B29" s="294"/>
      <c r="C29" s="217"/>
      <c r="D29" s="294"/>
      <c r="E29" s="39"/>
      <c r="F29" s="39"/>
      <c r="G29" s="16"/>
      <c r="H29" s="209"/>
    </row>
    <row r="30" spans="1:12" ht="39" customHeight="1" x14ac:dyDescent="0.25">
      <c r="A30" s="230" t="s">
        <v>69</v>
      </c>
      <c r="B30" s="294" t="s">
        <v>71</v>
      </c>
      <c r="C30" s="217" t="s">
        <v>47</v>
      </c>
      <c r="D30" s="294"/>
      <c r="E30" s="39">
        <f>E32</f>
        <v>0</v>
      </c>
      <c r="F30" s="39">
        <f t="shared" ref="F30:L30" si="7">F32</f>
        <v>0</v>
      </c>
      <c r="G30" s="39">
        <f t="shared" si="7"/>
        <v>0</v>
      </c>
      <c r="H30" s="39">
        <f t="shared" si="7"/>
        <v>0</v>
      </c>
      <c r="I30" s="39">
        <f t="shared" si="7"/>
        <v>0</v>
      </c>
      <c r="J30" s="39">
        <f t="shared" si="7"/>
        <v>0</v>
      </c>
      <c r="L30" s="39">
        <f t="shared" si="7"/>
        <v>0</v>
      </c>
    </row>
    <row r="31" spans="1:12" ht="33" customHeight="1" x14ac:dyDescent="0.25">
      <c r="A31" s="230" t="s">
        <v>5</v>
      </c>
      <c r="B31" s="294"/>
      <c r="C31" s="217"/>
      <c r="D31" s="294"/>
      <c r="E31" s="39"/>
      <c r="F31" s="39"/>
      <c r="G31" s="16"/>
      <c r="H31" s="209"/>
    </row>
    <row r="32" spans="1:12" ht="48.75" customHeight="1" x14ac:dyDescent="0.25">
      <c r="A32" s="226" t="s">
        <v>70</v>
      </c>
      <c r="B32" s="294" t="s">
        <v>72</v>
      </c>
      <c r="C32" s="217">
        <v>510</v>
      </c>
      <c r="D32" s="294"/>
      <c r="E32" s="39">
        <f>I32+J32+L32</f>
        <v>0</v>
      </c>
      <c r="F32" s="39"/>
      <c r="G32" s="16"/>
      <c r="H32" s="209"/>
    </row>
    <row r="33" spans="1:12" ht="74.25" customHeight="1" x14ac:dyDescent="0.25">
      <c r="A33" s="231" t="s">
        <v>79</v>
      </c>
      <c r="B33" s="57" t="s">
        <v>80</v>
      </c>
      <c r="C33" s="232" t="s">
        <v>4</v>
      </c>
      <c r="D33" s="57"/>
      <c r="E33" s="51">
        <f>E36+E40+E46+E49+E54+E56+E60</f>
        <v>174897577.78999999</v>
      </c>
      <c r="F33" s="51">
        <f>F36+F40+F46+F49+F54+F56+F60</f>
        <v>175631800</v>
      </c>
      <c r="G33" s="51">
        <f>G36+G40+G46+G49+G54+G56+G60</f>
        <v>175631800</v>
      </c>
      <c r="H33" s="51">
        <f t="shared" ref="H33:K33" si="8">H36+H40+H46+H49+H54+H56+H60</f>
        <v>0</v>
      </c>
      <c r="I33" s="51">
        <f t="shared" si="8"/>
        <v>0</v>
      </c>
      <c r="J33" s="51">
        <f>J36+J40+J46+J49+J54+J56+J60</f>
        <v>259477.78999999998</v>
      </c>
      <c r="K33" s="51">
        <f t="shared" si="8"/>
        <v>0</v>
      </c>
      <c r="L33" s="51">
        <f>L36+L40+L46+L49+L54+L56+L60</f>
        <v>174638100</v>
      </c>
    </row>
    <row r="34" spans="1:12" ht="36" customHeight="1" x14ac:dyDescent="0.25">
      <c r="A34" s="233" t="s">
        <v>81</v>
      </c>
      <c r="B34" s="294" t="s">
        <v>82</v>
      </c>
      <c r="C34" s="234" t="s">
        <v>47</v>
      </c>
      <c r="D34" s="294"/>
      <c r="E34" s="16">
        <f>E36+E40+E46+E49</f>
        <v>140454720.78999999</v>
      </c>
      <c r="F34" s="16"/>
      <c r="G34" s="16">
        <f>F34</f>
        <v>0</v>
      </c>
      <c r="H34" s="16">
        <f t="shared" ref="H34:L34" si="9">H36+H40+H46+H49</f>
        <v>0</v>
      </c>
      <c r="I34" s="16">
        <f t="shared" si="9"/>
        <v>0</v>
      </c>
      <c r="J34" s="16">
        <f t="shared" si="9"/>
        <v>259477.78999999998</v>
      </c>
      <c r="K34" s="16">
        <f t="shared" si="9"/>
        <v>0</v>
      </c>
      <c r="L34" s="16">
        <f t="shared" si="9"/>
        <v>140195243</v>
      </c>
    </row>
    <row r="35" spans="1:12" ht="27" customHeight="1" x14ac:dyDescent="0.25">
      <c r="A35" s="233" t="s">
        <v>55</v>
      </c>
      <c r="B35" s="294"/>
      <c r="C35" s="234"/>
      <c r="D35" s="294"/>
      <c r="E35" s="16"/>
      <c r="F35" s="16"/>
      <c r="G35" s="16"/>
      <c r="H35" s="209"/>
    </row>
    <row r="36" spans="1:12" s="239" customFormat="1" ht="41.25" customHeight="1" x14ac:dyDescent="0.25">
      <c r="A36" s="235" t="s">
        <v>7</v>
      </c>
      <c r="B36" s="64" t="s">
        <v>83</v>
      </c>
      <c r="C36" s="236">
        <v>111</v>
      </c>
      <c r="D36" s="64"/>
      <c r="E36" s="65">
        <f>E37+E38+E39</f>
        <v>109371634.70999999</v>
      </c>
      <c r="F36" s="65">
        <f>F37+F38+F39</f>
        <v>106672343</v>
      </c>
      <c r="G36" s="65">
        <f t="shared" ref="G36:H36" si="10">G37+G38+G39</f>
        <v>106672343</v>
      </c>
      <c r="H36" s="237">
        <f t="shared" si="10"/>
        <v>0</v>
      </c>
      <c r="I36" s="238">
        <f>I37+I38+I39</f>
        <v>0</v>
      </c>
      <c r="J36" s="238">
        <f t="shared" ref="J36:K36" si="11">J37+J38+J39</f>
        <v>199291.70999999996</v>
      </c>
      <c r="K36" s="238">
        <f t="shared" si="11"/>
        <v>0</v>
      </c>
      <c r="L36" s="238">
        <f>L37+L38+L39</f>
        <v>109172343</v>
      </c>
    </row>
    <row r="37" spans="1:12" ht="42.75" customHeight="1" outlineLevel="1" x14ac:dyDescent="0.25">
      <c r="A37" s="233" t="s">
        <v>257</v>
      </c>
      <c r="B37" s="294"/>
      <c r="C37" s="234">
        <v>111</v>
      </c>
      <c r="D37" s="294" t="s">
        <v>97</v>
      </c>
      <c r="E37" s="16">
        <f>I37+J37+L37+K37</f>
        <v>108797691.70999999</v>
      </c>
      <c r="F37" s="16">
        <v>106098400</v>
      </c>
      <c r="G37" s="16">
        <f>F37</f>
        <v>106098400</v>
      </c>
      <c r="H37" s="209"/>
      <c r="J37" s="287">
        <f>344500-42389.15-83500.85-19318.29</f>
        <v>199291.70999999996</v>
      </c>
      <c r="L37" s="39">
        <f>106098400+2500000</f>
        <v>108598400</v>
      </c>
    </row>
    <row r="38" spans="1:12" ht="42.75" hidden="1" customHeight="1" outlineLevel="1" x14ac:dyDescent="0.25">
      <c r="A38" s="233" t="s">
        <v>164</v>
      </c>
      <c r="B38" s="294"/>
      <c r="C38" s="234">
        <v>111</v>
      </c>
      <c r="D38" s="294" t="s">
        <v>97</v>
      </c>
      <c r="E38" s="16">
        <f>I38+J38+L38+K38</f>
        <v>0</v>
      </c>
      <c r="F38" s="16"/>
      <c r="G38" s="16">
        <v>0</v>
      </c>
      <c r="H38" s="209"/>
    </row>
    <row r="39" spans="1:12" ht="43.5" customHeight="1" outlineLevel="1" x14ac:dyDescent="0.25">
      <c r="A39" s="233" t="s">
        <v>256</v>
      </c>
      <c r="B39" s="294"/>
      <c r="C39" s="234">
        <v>111</v>
      </c>
      <c r="D39" s="294" t="s">
        <v>96</v>
      </c>
      <c r="E39" s="16">
        <f>I39+J39+L39+K39</f>
        <v>573943</v>
      </c>
      <c r="F39" s="16">
        <f>E39</f>
        <v>573943</v>
      </c>
      <c r="G39" s="16">
        <f>F39</f>
        <v>573943</v>
      </c>
      <c r="H39" s="209"/>
      <c r="L39" s="39">
        <v>573943</v>
      </c>
    </row>
    <row r="40" spans="1:12" s="239" customFormat="1" ht="57" customHeight="1" x14ac:dyDescent="0.25">
      <c r="A40" s="235" t="s">
        <v>84</v>
      </c>
      <c r="B40" s="64" t="s">
        <v>85</v>
      </c>
      <c r="C40" s="236">
        <v>112</v>
      </c>
      <c r="D40" s="64"/>
      <c r="E40" s="65">
        <f>E41+E42+E43+E44+E45</f>
        <v>0</v>
      </c>
      <c r="F40" s="65">
        <f t="shared" ref="F40:H40" si="12">F41+F42+F43+F44+F45</f>
        <v>0</v>
      </c>
      <c r="G40" s="65">
        <f t="shared" si="12"/>
        <v>0</v>
      </c>
      <c r="H40" s="237">
        <f t="shared" si="12"/>
        <v>0</v>
      </c>
      <c r="I40" s="238">
        <f>I41+I42+I43+I44+I45</f>
        <v>0</v>
      </c>
      <c r="J40" s="238">
        <f>J41+J42+J43+J44+J45</f>
        <v>0</v>
      </c>
      <c r="K40" s="238"/>
      <c r="L40" s="238">
        <f t="shared" ref="L40" si="13">L41+L42+L43+L44+L45</f>
        <v>0</v>
      </c>
    </row>
    <row r="41" spans="1:12" ht="36" hidden="1" customHeight="1" outlineLevel="1" x14ac:dyDescent="0.25">
      <c r="A41" s="233"/>
      <c r="B41" s="294"/>
      <c r="C41" s="234">
        <v>112</v>
      </c>
      <c r="D41" s="294">
        <v>212</v>
      </c>
      <c r="E41" s="16"/>
      <c r="F41" s="16"/>
      <c r="G41" s="16"/>
      <c r="H41" s="209"/>
    </row>
    <row r="42" spans="1:12" ht="39.75" hidden="1" customHeight="1" outlineLevel="1" x14ac:dyDescent="0.25">
      <c r="A42" s="233"/>
      <c r="B42" s="294"/>
      <c r="C42" s="234">
        <v>112</v>
      </c>
      <c r="D42" s="294" t="s">
        <v>95</v>
      </c>
      <c r="E42" s="16"/>
      <c r="F42" s="16"/>
      <c r="G42" s="16"/>
      <c r="H42" s="209"/>
    </row>
    <row r="43" spans="1:12" ht="33" hidden="1" customHeight="1" outlineLevel="1" x14ac:dyDescent="0.25">
      <c r="A43" s="233"/>
      <c r="B43" s="294"/>
      <c r="C43" s="234">
        <v>112</v>
      </c>
      <c r="D43" s="294" t="s">
        <v>94</v>
      </c>
      <c r="E43" s="16"/>
      <c r="F43" s="16"/>
      <c r="G43" s="16"/>
      <c r="H43" s="209"/>
    </row>
    <row r="44" spans="1:12" ht="34.5" hidden="1" customHeight="1" outlineLevel="1" x14ac:dyDescent="0.25">
      <c r="A44" s="233"/>
      <c r="B44" s="294"/>
      <c r="C44" s="234">
        <v>112</v>
      </c>
      <c r="D44" s="294">
        <v>226</v>
      </c>
      <c r="E44" s="16"/>
      <c r="F44" s="16"/>
      <c r="G44" s="16"/>
      <c r="H44" s="209"/>
    </row>
    <row r="45" spans="1:12" ht="34.5" hidden="1" customHeight="1" outlineLevel="1" x14ac:dyDescent="0.25">
      <c r="A45" s="233"/>
      <c r="B45" s="294"/>
      <c r="C45" s="234">
        <v>112</v>
      </c>
      <c r="D45" s="294" t="s">
        <v>96</v>
      </c>
      <c r="E45" s="16"/>
      <c r="F45" s="16"/>
      <c r="G45" s="16"/>
      <c r="H45" s="209"/>
    </row>
    <row r="46" spans="1:12" s="239" customFormat="1" ht="73.5" customHeight="1" collapsed="1" x14ac:dyDescent="0.25">
      <c r="A46" s="235" t="s">
        <v>86</v>
      </c>
      <c r="B46" s="64" t="s">
        <v>87</v>
      </c>
      <c r="C46" s="236">
        <v>113</v>
      </c>
      <c r="D46" s="64"/>
      <c r="E46" s="65">
        <f>E47+E48</f>
        <v>0</v>
      </c>
      <c r="F46" s="65">
        <f t="shared" ref="F46:H46" si="14">F47+F48</f>
        <v>0</v>
      </c>
      <c r="G46" s="65">
        <f t="shared" si="14"/>
        <v>0</v>
      </c>
      <c r="H46" s="237">
        <f t="shared" si="14"/>
        <v>0</v>
      </c>
      <c r="I46" s="238"/>
      <c r="J46" s="238"/>
      <c r="K46" s="238"/>
      <c r="L46" s="238"/>
    </row>
    <row r="47" spans="1:12" ht="44.25" hidden="1" customHeight="1" outlineLevel="1" x14ac:dyDescent="0.25">
      <c r="A47" s="233"/>
      <c r="B47" s="294"/>
      <c r="C47" s="234">
        <v>113</v>
      </c>
      <c r="D47" s="294" t="s">
        <v>98</v>
      </c>
      <c r="E47" s="16"/>
      <c r="F47" s="16"/>
      <c r="G47" s="16"/>
      <c r="H47" s="209"/>
    </row>
    <row r="48" spans="1:12" ht="44.25" hidden="1" customHeight="1" outlineLevel="1" x14ac:dyDescent="0.25">
      <c r="A48" s="233"/>
      <c r="B48" s="294"/>
      <c r="C48" s="234">
        <v>113</v>
      </c>
      <c r="D48" s="294" t="s">
        <v>99</v>
      </c>
      <c r="E48" s="16"/>
      <c r="F48" s="16"/>
      <c r="G48" s="16"/>
      <c r="H48" s="209"/>
    </row>
    <row r="49" spans="1:13" s="239" customFormat="1" ht="93" customHeight="1" collapsed="1" x14ac:dyDescent="0.25">
      <c r="A49" s="235" t="s">
        <v>88</v>
      </c>
      <c r="B49" s="64" t="s">
        <v>89</v>
      </c>
      <c r="C49" s="236">
        <v>119</v>
      </c>
      <c r="D49" s="64"/>
      <c r="E49" s="65">
        <f>E51+E52+E53</f>
        <v>31083086.079999998</v>
      </c>
      <c r="F49" s="65">
        <f t="shared" ref="F49:I49" si="15">F51+F52+F53</f>
        <v>32136300</v>
      </c>
      <c r="G49" s="65">
        <f t="shared" si="15"/>
        <v>32136300</v>
      </c>
      <c r="H49" s="65">
        <f t="shared" si="15"/>
        <v>0</v>
      </c>
      <c r="I49" s="65">
        <f t="shared" si="15"/>
        <v>0</v>
      </c>
      <c r="J49" s="65">
        <f>J51+J52+J53</f>
        <v>60186.080000000002</v>
      </c>
      <c r="K49" s="65">
        <f t="shared" ref="K49:L49" si="16">K51+K52+K53</f>
        <v>0</v>
      </c>
      <c r="L49" s="65">
        <f t="shared" si="16"/>
        <v>31022900</v>
      </c>
    </row>
    <row r="50" spans="1:13" ht="25.5" customHeight="1" x14ac:dyDescent="0.25">
      <c r="A50" s="233" t="s">
        <v>2</v>
      </c>
      <c r="B50" s="294"/>
      <c r="C50" s="234"/>
      <c r="D50" s="294"/>
      <c r="E50" s="16"/>
      <c r="F50" s="16"/>
      <c r="G50" s="16"/>
      <c r="H50" s="209"/>
    </row>
    <row r="51" spans="1:13" ht="29.25" customHeight="1" x14ac:dyDescent="0.25">
      <c r="A51" s="233" t="s">
        <v>91</v>
      </c>
      <c r="B51" s="294" t="s">
        <v>92</v>
      </c>
      <c r="C51" s="234">
        <v>119</v>
      </c>
      <c r="D51" s="294" t="s">
        <v>100</v>
      </c>
      <c r="E51" s="16">
        <f>I51+J51+L51+K51</f>
        <v>31083086.079999998</v>
      </c>
      <c r="F51" s="16">
        <v>32136300</v>
      </c>
      <c r="G51" s="16">
        <f>F51</f>
        <v>32136300</v>
      </c>
      <c r="H51" s="209"/>
      <c r="J51" s="287">
        <f>104000-12762.52-24107.48-6943.92</f>
        <v>60186.080000000002</v>
      </c>
      <c r="L51" s="39">
        <f>32136300-1613400+500000</f>
        <v>31022900</v>
      </c>
    </row>
    <row r="52" spans="1:13" ht="44.25" hidden="1" customHeight="1" x14ac:dyDescent="0.25">
      <c r="A52" s="233" t="s">
        <v>214</v>
      </c>
      <c r="B52" s="294" t="s">
        <v>92</v>
      </c>
      <c r="C52" s="234">
        <v>119</v>
      </c>
      <c r="D52" s="294" t="s">
        <v>100</v>
      </c>
      <c r="E52" s="16">
        <f>I52+J52+L52+K52</f>
        <v>0</v>
      </c>
      <c r="F52" s="16">
        <v>0</v>
      </c>
      <c r="G52" s="16">
        <v>0</v>
      </c>
      <c r="H52" s="209"/>
    </row>
    <row r="53" spans="1:13" ht="30.75" customHeight="1" x14ac:dyDescent="0.25">
      <c r="A53" s="233" t="s">
        <v>90</v>
      </c>
      <c r="B53" s="294" t="s">
        <v>93</v>
      </c>
      <c r="C53" s="234">
        <v>119</v>
      </c>
      <c r="D53" s="294"/>
      <c r="E53" s="16">
        <f>I53+J53+L53+K53</f>
        <v>0</v>
      </c>
      <c r="F53" s="16"/>
      <c r="G53" s="16"/>
      <c r="H53" s="209"/>
    </row>
    <row r="54" spans="1:13" ht="54.75" customHeight="1" x14ac:dyDescent="0.25">
      <c r="A54" s="235" t="s">
        <v>101</v>
      </c>
      <c r="B54" s="240" t="s">
        <v>102</v>
      </c>
      <c r="C54" s="236">
        <v>300</v>
      </c>
      <c r="D54" s="64"/>
      <c r="E54" s="65">
        <f>E55</f>
        <v>0</v>
      </c>
      <c r="F54" s="65">
        <f t="shared" ref="F54:H54" si="17">F55</f>
        <v>0</v>
      </c>
      <c r="G54" s="65">
        <f t="shared" si="17"/>
        <v>0</v>
      </c>
      <c r="H54" s="237">
        <f t="shared" si="17"/>
        <v>0</v>
      </c>
      <c r="I54" s="39">
        <f>I55</f>
        <v>0</v>
      </c>
      <c r="J54" s="39">
        <f t="shared" ref="J54:L54" si="18">J55</f>
        <v>0</v>
      </c>
      <c r="K54" s="39">
        <f t="shared" si="18"/>
        <v>0</v>
      </c>
      <c r="L54" s="39">
        <f t="shared" si="18"/>
        <v>0</v>
      </c>
    </row>
    <row r="55" spans="1:13" ht="50.25" customHeight="1" x14ac:dyDescent="0.25">
      <c r="A55" s="233" t="s">
        <v>103</v>
      </c>
      <c r="B55" s="294" t="s">
        <v>104</v>
      </c>
      <c r="C55" s="234">
        <v>321</v>
      </c>
      <c r="D55" s="294" t="s">
        <v>105</v>
      </c>
      <c r="E55" s="16"/>
      <c r="F55" s="16"/>
      <c r="G55" s="16"/>
      <c r="H55" s="209"/>
    </row>
    <row r="56" spans="1:13" ht="52.5" customHeight="1" x14ac:dyDescent="0.25">
      <c r="A56" s="241" t="s">
        <v>106</v>
      </c>
      <c r="B56" s="64" t="s">
        <v>107</v>
      </c>
      <c r="C56" s="236">
        <v>850</v>
      </c>
      <c r="D56" s="64"/>
      <c r="E56" s="65">
        <f>E57+E58+E59</f>
        <v>7442600</v>
      </c>
      <c r="F56" s="65">
        <f t="shared" ref="F56:L56" si="19">F57+F58+F59</f>
        <v>7442600</v>
      </c>
      <c r="G56" s="65">
        <f t="shared" si="19"/>
        <v>7442600</v>
      </c>
      <c r="H56" s="65">
        <f t="shared" si="19"/>
        <v>0</v>
      </c>
      <c r="I56" s="65">
        <f t="shared" si="19"/>
        <v>0</v>
      </c>
      <c r="J56" s="65">
        <f t="shared" si="19"/>
        <v>0</v>
      </c>
      <c r="K56" s="65">
        <f t="shared" si="19"/>
        <v>0</v>
      </c>
      <c r="L56" s="65">
        <f t="shared" si="19"/>
        <v>7442600</v>
      </c>
    </row>
    <row r="57" spans="1:13" ht="42.75" customHeight="1" x14ac:dyDescent="0.25">
      <c r="A57" s="233" t="s">
        <v>108</v>
      </c>
      <c r="B57" s="294" t="s">
        <v>109</v>
      </c>
      <c r="C57" s="234">
        <v>851</v>
      </c>
      <c r="D57" s="294" t="s">
        <v>114</v>
      </c>
      <c r="E57" s="16">
        <f>I57+J57+L57</f>
        <v>7414100</v>
      </c>
      <c r="F57" s="16">
        <f>E57</f>
        <v>7414100</v>
      </c>
      <c r="G57" s="16">
        <f>F57</f>
        <v>7414100</v>
      </c>
      <c r="H57" s="209"/>
      <c r="L57" s="39">
        <v>7414100</v>
      </c>
    </row>
    <row r="58" spans="1:13" ht="26.25" customHeight="1" x14ac:dyDescent="0.25">
      <c r="A58" s="233" t="s">
        <v>110</v>
      </c>
      <c r="B58" s="294" t="s">
        <v>111</v>
      </c>
      <c r="C58" s="234">
        <v>852</v>
      </c>
      <c r="D58" s="294" t="s">
        <v>114</v>
      </c>
      <c r="E58" s="16">
        <f>J58+L58</f>
        <v>28500</v>
      </c>
      <c r="F58" s="16">
        <f>E58</f>
        <v>28500</v>
      </c>
      <c r="G58" s="16">
        <f t="shared" ref="G58:G61" si="20">F58</f>
        <v>28500</v>
      </c>
      <c r="H58" s="209"/>
      <c r="L58" s="39">
        <v>28500</v>
      </c>
    </row>
    <row r="59" spans="1:13" ht="22.5" customHeight="1" x14ac:dyDescent="0.25">
      <c r="A59" s="233" t="s">
        <v>112</v>
      </c>
      <c r="B59" s="294" t="s">
        <v>113</v>
      </c>
      <c r="C59" s="234">
        <v>853</v>
      </c>
      <c r="D59" s="294" t="s">
        <v>114</v>
      </c>
      <c r="E59" s="16">
        <f>L59</f>
        <v>0</v>
      </c>
      <c r="F59" s="16"/>
      <c r="G59" s="16">
        <f t="shared" si="20"/>
        <v>0</v>
      </c>
      <c r="H59" s="209"/>
      <c r="L59" s="39">
        <f>3451-3451</f>
        <v>0</v>
      </c>
    </row>
    <row r="60" spans="1:13" ht="45" customHeight="1" x14ac:dyDescent="0.25">
      <c r="A60" s="235" t="s">
        <v>24</v>
      </c>
      <c r="B60" s="64" t="s">
        <v>116</v>
      </c>
      <c r="C60" s="236" t="s">
        <v>47</v>
      </c>
      <c r="D60" s="64"/>
      <c r="E60" s="65">
        <f>E61</f>
        <v>27000257</v>
      </c>
      <c r="F60" s="65">
        <f t="shared" ref="F60:L60" si="21">F61</f>
        <v>29380557</v>
      </c>
      <c r="G60" s="65">
        <f t="shared" si="20"/>
        <v>29380557</v>
      </c>
      <c r="H60" s="65">
        <f t="shared" si="21"/>
        <v>0</v>
      </c>
      <c r="I60" s="65">
        <f t="shared" si="21"/>
        <v>0</v>
      </c>
      <c r="J60" s="65">
        <f t="shared" si="21"/>
        <v>0</v>
      </c>
      <c r="K60" s="65">
        <f t="shared" si="21"/>
        <v>0</v>
      </c>
      <c r="L60" s="65">
        <f t="shared" si="21"/>
        <v>27000257</v>
      </c>
    </row>
    <row r="61" spans="1:13" ht="55.5" customHeight="1" x14ac:dyDescent="0.25">
      <c r="A61" s="235" t="s">
        <v>117</v>
      </c>
      <c r="B61" s="64" t="s">
        <v>115</v>
      </c>
      <c r="C61" s="236">
        <v>244</v>
      </c>
      <c r="D61" s="64"/>
      <c r="E61" s="65">
        <f>SUM(E63:E83)</f>
        <v>27000257</v>
      </c>
      <c r="F61" s="65">
        <f t="shared" ref="F61:L61" si="22">SUM(F63:F83)</f>
        <v>29380557</v>
      </c>
      <c r="G61" s="65">
        <f t="shared" si="20"/>
        <v>29380557</v>
      </c>
      <c r="H61" s="65">
        <f t="shared" si="22"/>
        <v>0</v>
      </c>
      <c r="I61" s="65">
        <f t="shared" si="22"/>
        <v>0</v>
      </c>
      <c r="J61" s="65">
        <f t="shared" si="22"/>
        <v>0</v>
      </c>
      <c r="K61" s="65">
        <f t="shared" si="22"/>
        <v>0</v>
      </c>
      <c r="L61" s="65">
        <f t="shared" si="22"/>
        <v>27000257</v>
      </c>
      <c r="M61" s="17"/>
    </row>
    <row r="62" spans="1:13" ht="24" customHeight="1" x14ac:dyDescent="0.25">
      <c r="A62" s="233" t="s">
        <v>131</v>
      </c>
      <c r="B62" s="58"/>
      <c r="C62" s="217"/>
      <c r="D62" s="58"/>
      <c r="E62" s="14"/>
      <c r="F62" s="14"/>
      <c r="G62" s="14"/>
      <c r="H62" s="242"/>
    </row>
    <row r="63" spans="1:13" ht="32.25" customHeight="1" outlineLevel="1" x14ac:dyDescent="0.25">
      <c r="A63" s="213" t="s">
        <v>8</v>
      </c>
      <c r="B63" s="294"/>
      <c r="C63" s="234">
        <v>244</v>
      </c>
      <c r="D63" s="294" t="s">
        <v>118</v>
      </c>
      <c r="E63" s="16">
        <f t="shared" ref="E63:E83" si="23">I63+J63+L63+K63</f>
        <v>473800</v>
      </c>
      <c r="F63" s="16">
        <v>472900</v>
      </c>
      <c r="G63" s="16">
        <f>F63</f>
        <v>472900</v>
      </c>
      <c r="H63" s="209"/>
      <c r="L63" s="39">
        <f>472900+6650-5750</f>
        <v>473800</v>
      </c>
    </row>
    <row r="64" spans="1:13" ht="37.5" hidden="1" customHeight="1" outlineLevel="1" x14ac:dyDescent="0.25">
      <c r="A64" s="213" t="s">
        <v>9</v>
      </c>
      <c r="B64" s="294"/>
      <c r="C64" s="234">
        <v>244</v>
      </c>
      <c r="D64" s="294" t="s">
        <v>94</v>
      </c>
      <c r="E64" s="16">
        <f t="shared" si="23"/>
        <v>0</v>
      </c>
      <c r="F64" s="16">
        <v>0</v>
      </c>
      <c r="G64" s="16">
        <f t="shared" ref="G64:G78" si="24">F64</f>
        <v>0</v>
      </c>
      <c r="H64" s="209"/>
    </row>
    <row r="65" spans="1:13" ht="30" customHeight="1" outlineLevel="1" x14ac:dyDescent="0.25">
      <c r="A65" s="213" t="s">
        <v>10</v>
      </c>
      <c r="B65" s="294"/>
      <c r="C65" s="234">
        <v>244</v>
      </c>
      <c r="D65" s="294" t="s">
        <v>119</v>
      </c>
      <c r="E65" s="16">
        <f t="shared" si="23"/>
        <v>528817.14</v>
      </c>
      <c r="F65" s="16">
        <v>450231</v>
      </c>
      <c r="G65" s="16">
        <f t="shared" si="24"/>
        <v>450231</v>
      </c>
      <c r="H65" s="209"/>
      <c r="L65" s="39">
        <f>450231+78835.9-249.76</f>
        <v>528817.14</v>
      </c>
    </row>
    <row r="66" spans="1:13" ht="38.25" customHeight="1" outlineLevel="1" x14ac:dyDescent="0.25">
      <c r="A66" s="213" t="s">
        <v>22</v>
      </c>
      <c r="B66" s="294"/>
      <c r="C66" s="234">
        <v>244</v>
      </c>
      <c r="D66" s="294" t="s">
        <v>120</v>
      </c>
      <c r="E66" s="16">
        <f t="shared" si="23"/>
        <v>162440</v>
      </c>
      <c r="F66" s="16">
        <v>10760</v>
      </c>
      <c r="G66" s="16">
        <f t="shared" si="24"/>
        <v>10760</v>
      </c>
      <c r="H66" s="209"/>
      <c r="L66" s="39">
        <f>10760-2120+155300-1500</f>
        <v>162440</v>
      </c>
    </row>
    <row r="67" spans="1:13" ht="27" customHeight="1" outlineLevel="1" x14ac:dyDescent="0.25">
      <c r="A67" s="213" t="s">
        <v>11</v>
      </c>
      <c r="B67" s="294"/>
      <c r="C67" s="234">
        <v>244</v>
      </c>
      <c r="D67" s="294" t="s">
        <v>121</v>
      </c>
      <c r="E67" s="16">
        <f>I67+J67+L67+K67</f>
        <v>6438945.9500000002</v>
      </c>
      <c r="F67" s="16">
        <v>5992596</v>
      </c>
      <c r="G67" s="16">
        <f t="shared" si="24"/>
        <v>5992596</v>
      </c>
      <c r="H67" s="209"/>
      <c r="L67" s="39">
        <f>5992596-166433.72+539900+171200.67+48775-147092</f>
        <v>6438945.9500000002</v>
      </c>
    </row>
    <row r="68" spans="1:13" ht="36" customHeight="1" outlineLevel="1" x14ac:dyDescent="0.25">
      <c r="A68" s="213" t="s">
        <v>12</v>
      </c>
      <c r="B68" s="294"/>
      <c r="C68" s="234">
        <v>244</v>
      </c>
      <c r="D68" s="294" t="s">
        <v>99</v>
      </c>
      <c r="E68" s="16">
        <f t="shared" si="23"/>
        <v>8464028.7400000021</v>
      </c>
      <c r="F68" s="16">
        <v>10374745</v>
      </c>
      <c r="G68" s="16">
        <f>F68</f>
        <v>10374745</v>
      </c>
      <c r="H68" s="209"/>
      <c r="L68" s="39">
        <f>10374745-594677.2+165658.97-1432923.03-48775</f>
        <v>8464028.7400000021</v>
      </c>
    </row>
    <row r="69" spans="1:13" ht="36" customHeight="1" outlineLevel="1" x14ac:dyDescent="0.25">
      <c r="A69" s="213" t="s">
        <v>30</v>
      </c>
      <c r="B69" s="294"/>
      <c r="C69" s="234">
        <v>244</v>
      </c>
      <c r="D69" s="294" t="s">
        <v>122</v>
      </c>
      <c r="E69" s="16">
        <f t="shared" si="23"/>
        <v>29967.34</v>
      </c>
      <c r="F69" s="16">
        <v>25309.360000000001</v>
      </c>
      <c r="G69" s="16">
        <f t="shared" si="24"/>
        <v>25309.360000000001</v>
      </c>
      <c r="H69" s="209"/>
      <c r="L69" s="39">
        <f>25309.36+774.75+2383.23+1500</f>
        <v>29967.34</v>
      </c>
    </row>
    <row r="70" spans="1:13" ht="37.5" customHeight="1" outlineLevel="1" x14ac:dyDescent="0.25">
      <c r="A70" s="213" t="s">
        <v>31</v>
      </c>
      <c r="B70" s="294"/>
      <c r="C70" s="234">
        <v>244</v>
      </c>
      <c r="D70" s="294" t="s">
        <v>123</v>
      </c>
      <c r="E70" s="16">
        <f t="shared" si="23"/>
        <v>0</v>
      </c>
      <c r="F70" s="16">
        <v>0</v>
      </c>
      <c r="G70" s="16">
        <f t="shared" si="24"/>
        <v>0</v>
      </c>
      <c r="H70" s="209"/>
    </row>
    <row r="71" spans="1:13" ht="37.5" customHeight="1" outlineLevel="1" x14ac:dyDescent="0.25">
      <c r="A71" s="213" t="s">
        <v>235</v>
      </c>
      <c r="B71" s="294"/>
      <c r="C71" s="234">
        <v>244</v>
      </c>
      <c r="D71" s="294" t="s">
        <v>234</v>
      </c>
      <c r="E71" s="16">
        <f t="shared" si="23"/>
        <v>0</v>
      </c>
      <c r="F71" s="16">
        <v>0</v>
      </c>
      <c r="G71" s="16">
        <f t="shared" si="24"/>
        <v>0</v>
      </c>
      <c r="H71" s="209"/>
    </row>
    <row r="72" spans="1:13" ht="29.25" customHeight="1" outlineLevel="1" x14ac:dyDescent="0.25">
      <c r="A72" s="213" t="s">
        <v>13</v>
      </c>
      <c r="B72" s="294"/>
      <c r="C72" s="234">
        <v>244</v>
      </c>
      <c r="D72" s="294" t="s">
        <v>124</v>
      </c>
      <c r="E72" s="16">
        <f t="shared" si="23"/>
        <v>0</v>
      </c>
      <c r="F72" s="16">
        <v>0</v>
      </c>
      <c r="G72" s="16">
        <f t="shared" si="24"/>
        <v>0</v>
      </c>
      <c r="H72" s="242"/>
    </row>
    <row r="73" spans="1:13" ht="36" customHeight="1" outlineLevel="1" x14ac:dyDescent="0.25">
      <c r="A73" s="213" t="s">
        <v>32</v>
      </c>
      <c r="B73" s="294"/>
      <c r="C73" s="234">
        <v>244</v>
      </c>
      <c r="D73" s="294" t="s">
        <v>125</v>
      </c>
      <c r="E73" s="16">
        <f t="shared" si="23"/>
        <v>92241.5</v>
      </c>
      <c r="F73" s="16">
        <v>0</v>
      </c>
      <c r="G73" s="16">
        <f t="shared" si="24"/>
        <v>0</v>
      </c>
      <c r="H73" s="209"/>
      <c r="L73" s="39">
        <f>92241.5</f>
        <v>92241.5</v>
      </c>
    </row>
    <row r="74" spans="1:13" ht="30.75" customHeight="1" outlineLevel="1" x14ac:dyDescent="0.25">
      <c r="A74" s="213" t="s">
        <v>25</v>
      </c>
      <c r="B74" s="294"/>
      <c r="C74" s="234">
        <v>244</v>
      </c>
      <c r="D74" s="294" t="s">
        <v>126</v>
      </c>
      <c r="E74" s="16">
        <f t="shared" si="23"/>
        <v>574475.52000000002</v>
      </c>
      <c r="F74" s="16">
        <v>637671</v>
      </c>
      <c r="G74" s="16">
        <f t="shared" si="24"/>
        <v>637671</v>
      </c>
      <c r="H74" s="209"/>
      <c r="L74" s="39">
        <f>637671-63195.48</f>
        <v>574475.52000000002</v>
      </c>
    </row>
    <row r="75" spans="1:13" ht="30.75" customHeight="1" outlineLevel="1" x14ac:dyDescent="0.25">
      <c r="A75" s="213" t="s">
        <v>26</v>
      </c>
      <c r="B75" s="294"/>
      <c r="C75" s="234">
        <v>244</v>
      </c>
      <c r="D75" s="294" t="s">
        <v>127</v>
      </c>
      <c r="E75" s="16">
        <f t="shared" si="23"/>
        <v>247092</v>
      </c>
      <c r="F75" s="16">
        <v>0</v>
      </c>
      <c r="G75" s="16">
        <f t="shared" si="24"/>
        <v>0</v>
      </c>
      <c r="H75" s="209"/>
      <c r="L75" s="39">
        <f>150000+97092</f>
        <v>247092</v>
      </c>
    </row>
    <row r="76" spans="1:13" ht="30.75" customHeight="1" outlineLevel="1" x14ac:dyDescent="0.25">
      <c r="A76" s="213" t="s">
        <v>27</v>
      </c>
      <c r="B76" s="294"/>
      <c r="C76" s="234">
        <v>244</v>
      </c>
      <c r="D76" s="294" t="s">
        <v>128</v>
      </c>
      <c r="E76" s="16">
        <f t="shared" si="23"/>
        <v>0</v>
      </c>
      <c r="F76" s="16">
        <v>0</v>
      </c>
      <c r="G76" s="16">
        <f t="shared" si="24"/>
        <v>0</v>
      </c>
      <c r="H76" s="209"/>
    </row>
    <row r="77" spans="1:13" ht="40.5" customHeight="1" outlineLevel="1" x14ac:dyDescent="0.25">
      <c r="A77" s="213" t="s">
        <v>28</v>
      </c>
      <c r="B77" s="294"/>
      <c r="C77" s="234">
        <v>244</v>
      </c>
      <c r="D77" s="294" t="s">
        <v>129</v>
      </c>
      <c r="E77" s="16">
        <f t="shared" si="23"/>
        <v>641534.53999999992</v>
      </c>
      <c r="F77" s="16">
        <v>200000</v>
      </c>
      <c r="G77" s="16">
        <f t="shared" si="24"/>
        <v>200000</v>
      </c>
      <c r="H77" s="209"/>
      <c r="L77" s="39">
        <f>200000+565118.44-171200.67-2383.23+50000</f>
        <v>641534.53999999992</v>
      </c>
      <c r="M77" s="17"/>
    </row>
    <row r="78" spans="1:13" ht="36" customHeight="1" outlineLevel="1" x14ac:dyDescent="0.25">
      <c r="A78" s="213" t="s">
        <v>29</v>
      </c>
      <c r="B78" s="294"/>
      <c r="C78" s="234">
        <v>244</v>
      </c>
      <c r="D78" s="294" t="s">
        <v>130</v>
      </c>
      <c r="E78" s="16">
        <f t="shared" si="23"/>
        <v>0</v>
      </c>
      <c r="F78" s="16">
        <v>0</v>
      </c>
      <c r="G78" s="16">
        <f t="shared" si="24"/>
        <v>0</v>
      </c>
      <c r="H78" s="209"/>
    </row>
    <row r="79" spans="1:13" ht="31.5" customHeight="1" outlineLevel="1" x14ac:dyDescent="0.25">
      <c r="A79" s="213" t="s">
        <v>10</v>
      </c>
      <c r="B79" s="294" t="s">
        <v>133</v>
      </c>
      <c r="C79" s="234">
        <v>247</v>
      </c>
      <c r="D79" s="294" t="s">
        <v>119</v>
      </c>
      <c r="E79" s="16">
        <f t="shared" si="23"/>
        <v>9346914.2700000014</v>
      </c>
      <c r="F79" s="16">
        <v>11216344.640000001</v>
      </c>
      <c r="G79" s="16">
        <f>F79</f>
        <v>11216344.640000001</v>
      </c>
      <c r="H79" s="209"/>
      <c r="L79" s="39">
        <f>8836044.64+511311.3-441.67</f>
        <v>9346914.2700000014</v>
      </c>
    </row>
    <row r="80" spans="1:13" ht="31.5" customHeight="1" outlineLevel="1" x14ac:dyDescent="0.25">
      <c r="A80" s="213" t="s">
        <v>266</v>
      </c>
      <c r="B80" s="294" t="s">
        <v>137</v>
      </c>
      <c r="C80" s="234">
        <v>410</v>
      </c>
      <c r="D80" s="294"/>
      <c r="E80" s="16"/>
      <c r="F80" s="16"/>
      <c r="G80" s="16"/>
      <c r="H80" s="209"/>
    </row>
    <row r="81" spans="1:13" ht="36.75" customHeight="1" x14ac:dyDescent="0.25">
      <c r="A81" s="213" t="s">
        <v>132</v>
      </c>
      <c r="B81" s="294" t="s">
        <v>238</v>
      </c>
      <c r="C81" s="234">
        <v>400</v>
      </c>
      <c r="D81" s="294"/>
      <c r="E81" s="16">
        <f t="shared" si="23"/>
        <v>0</v>
      </c>
      <c r="F81" s="16">
        <v>0</v>
      </c>
      <c r="G81" s="16">
        <v>0</v>
      </c>
      <c r="H81" s="209"/>
    </row>
    <row r="82" spans="1:13" ht="38.25" customHeight="1" x14ac:dyDescent="0.25">
      <c r="A82" s="213" t="s">
        <v>135</v>
      </c>
      <c r="B82" s="294" t="s">
        <v>239</v>
      </c>
      <c r="C82" s="234">
        <v>406</v>
      </c>
      <c r="D82" s="294"/>
      <c r="E82" s="16">
        <f t="shared" si="23"/>
        <v>0</v>
      </c>
      <c r="F82" s="16">
        <v>0</v>
      </c>
      <c r="G82" s="16">
        <v>0</v>
      </c>
      <c r="H82" s="209"/>
    </row>
    <row r="83" spans="1:13" ht="37.5" customHeight="1" x14ac:dyDescent="0.25">
      <c r="A83" s="213" t="s">
        <v>136</v>
      </c>
      <c r="B83" s="294" t="s">
        <v>240</v>
      </c>
      <c r="C83" s="234">
        <v>407</v>
      </c>
      <c r="D83" s="294"/>
      <c r="E83" s="16">
        <f t="shared" si="23"/>
        <v>0</v>
      </c>
      <c r="F83" s="16">
        <v>0</v>
      </c>
      <c r="G83" s="16">
        <v>0</v>
      </c>
      <c r="H83" s="209"/>
    </row>
    <row r="84" spans="1:13" ht="30" customHeight="1" x14ac:dyDescent="0.25">
      <c r="A84" s="243" t="s">
        <v>138</v>
      </c>
      <c r="B84" s="72" t="s">
        <v>139</v>
      </c>
      <c r="C84" s="244">
        <v>100</v>
      </c>
      <c r="D84" s="72"/>
      <c r="E84" s="73"/>
      <c r="F84" s="73"/>
      <c r="G84" s="73"/>
      <c r="H84" s="245"/>
    </row>
    <row r="85" spans="1:13" ht="25.5" customHeight="1" x14ac:dyDescent="0.25">
      <c r="A85" s="213" t="s">
        <v>140</v>
      </c>
      <c r="B85" s="294" t="s">
        <v>143</v>
      </c>
      <c r="C85" s="234"/>
      <c r="D85" s="294"/>
      <c r="E85" s="16"/>
      <c r="F85" s="16"/>
      <c r="G85" s="16"/>
      <c r="H85" s="209"/>
    </row>
    <row r="86" spans="1:13" ht="24" customHeight="1" x14ac:dyDescent="0.25">
      <c r="A86" s="213" t="s">
        <v>141</v>
      </c>
      <c r="B86" s="294" t="s">
        <v>144</v>
      </c>
      <c r="C86" s="234"/>
      <c r="D86" s="294"/>
      <c r="E86" s="16"/>
      <c r="F86" s="16"/>
      <c r="G86" s="16"/>
      <c r="H86" s="209"/>
    </row>
    <row r="87" spans="1:13" ht="23.25" customHeight="1" x14ac:dyDescent="0.25">
      <c r="A87" s="213" t="s">
        <v>142</v>
      </c>
      <c r="B87" s="294" t="s">
        <v>145</v>
      </c>
      <c r="C87" s="234"/>
      <c r="D87" s="294"/>
      <c r="E87" s="16"/>
      <c r="F87" s="16"/>
      <c r="G87" s="16"/>
      <c r="H87" s="209"/>
    </row>
    <row r="88" spans="1:13" ht="27" customHeight="1" x14ac:dyDescent="0.25">
      <c r="A88" s="243" t="s">
        <v>146</v>
      </c>
      <c r="B88" s="72" t="s">
        <v>148</v>
      </c>
      <c r="C88" s="244" t="s">
        <v>47</v>
      </c>
      <c r="D88" s="72"/>
      <c r="E88" s="73"/>
      <c r="F88" s="73"/>
      <c r="G88" s="73"/>
      <c r="H88" s="245"/>
    </row>
    <row r="89" spans="1:13" ht="47.25" customHeight="1" x14ac:dyDescent="0.25">
      <c r="A89" s="213" t="s">
        <v>147</v>
      </c>
      <c r="B89" s="294" t="s">
        <v>149</v>
      </c>
      <c r="C89" s="234">
        <v>610</v>
      </c>
      <c r="D89" s="294"/>
      <c r="E89" s="16"/>
      <c r="F89" s="16"/>
      <c r="G89" s="16"/>
      <c r="H89" s="209"/>
    </row>
    <row r="90" spans="1:13" x14ac:dyDescent="0.25">
      <c r="I90" s="205"/>
      <c r="J90" s="205"/>
      <c r="K90" s="205"/>
      <c r="L90" s="205"/>
    </row>
    <row r="91" spans="1:13" x14ac:dyDescent="0.25">
      <c r="H91" s="203"/>
      <c r="I91" s="203"/>
      <c r="J91" s="203"/>
      <c r="K91" s="203"/>
      <c r="L91" s="203"/>
      <c r="M91" s="204"/>
    </row>
    <row r="92" spans="1:13" ht="23.25" x14ac:dyDescent="0.25">
      <c r="A92" s="246"/>
      <c r="D92" s="246"/>
      <c r="H92" s="203"/>
      <c r="I92" s="203"/>
      <c r="J92" s="203"/>
      <c r="K92" s="203"/>
      <c r="L92" s="203"/>
      <c r="M92" s="204"/>
    </row>
    <row r="93" spans="1:13" ht="23.25" x14ac:dyDescent="0.25">
      <c r="A93" s="247"/>
      <c r="H93" s="203"/>
      <c r="I93" s="203"/>
      <c r="J93" s="203"/>
      <c r="K93" s="203"/>
      <c r="L93" s="203"/>
      <c r="M93" s="204"/>
    </row>
    <row r="94" spans="1:13" ht="23.25" x14ac:dyDescent="0.25">
      <c r="A94" s="247"/>
      <c r="H94" s="203"/>
      <c r="I94" s="203"/>
      <c r="J94" s="203"/>
      <c r="K94" s="203"/>
      <c r="L94" s="203"/>
      <c r="M94" s="204"/>
    </row>
    <row r="95" spans="1:13" ht="23.25" x14ac:dyDescent="0.25">
      <c r="A95" s="246"/>
      <c r="D95" s="246"/>
      <c r="H95" s="203"/>
      <c r="I95" s="203"/>
      <c r="J95" s="203"/>
      <c r="K95" s="203"/>
      <c r="L95" s="203"/>
      <c r="M95" s="204"/>
    </row>
    <row r="96" spans="1:13" x14ac:dyDescent="0.25">
      <c r="H96" s="203"/>
      <c r="I96" s="203"/>
      <c r="J96" s="203"/>
      <c r="K96" s="203"/>
      <c r="L96" s="203"/>
      <c r="M96" s="204"/>
    </row>
    <row r="97" spans="8:13" x14ac:dyDescent="0.25">
      <c r="H97" s="203"/>
      <c r="I97" s="203"/>
      <c r="J97" s="203"/>
      <c r="K97" s="203"/>
      <c r="L97" s="203"/>
      <c r="M97" s="204"/>
    </row>
    <row r="98" spans="8:13" x14ac:dyDescent="0.25">
      <c r="H98" s="203"/>
      <c r="I98" s="203"/>
      <c r="J98" s="203"/>
      <c r="K98" s="203"/>
      <c r="L98" s="203"/>
      <c r="M98" s="204"/>
    </row>
    <row r="99" spans="8:13" x14ac:dyDescent="0.25">
      <c r="H99" s="203"/>
      <c r="I99" s="203"/>
      <c r="J99" s="203"/>
      <c r="K99" s="203"/>
      <c r="L99" s="203"/>
      <c r="M99" s="204"/>
    </row>
    <row r="100" spans="8:13" x14ac:dyDescent="0.25">
      <c r="H100" s="203"/>
      <c r="I100" s="203"/>
      <c r="J100" s="203"/>
      <c r="K100" s="203"/>
      <c r="L100" s="203"/>
      <c r="M100" s="204"/>
    </row>
    <row r="101" spans="8:13" x14ac:dyDescent="0.25">
      <c r="H101" s="203"/>
      <c r="I101" s="203"/>
      <c r="J101" s="203"/>
      <c r="K101" s="203"/>
      <c r="L101" s="203"/>
      <c r="M101" s="204"/>
    </row>
    <row r="102" spans="8:13" x14ac:dyDescent="0.25">
      <c r="H102" s="203"/>
      <c r="I102" s="203"/>
      <c r="J102" s="203"/>
      <c r="K102" s="203"/>
      <c r="L102" s="203"/>
      <c r="M102" s="204"/>
    </row>
    <row r="103" spans="8:13" x14ac:dyDescent="0.25">
      <c r="H103" s="203"/>
      <c r="I103" s="203"/>
      <c r="J103" s="203"/>
      <c r="K103" s="203"/>
      <c r="L103" s="203"/>
      <c r="M103" s="204"/>
    </row>
    <row r="104" spans="8:13" x14ac:dyDescent="0.25">
      <c r="H104" s="203"/>
      <c r="I104" s="203"/>
      <c r="J104" s="203"/>
      <c r="K104" s="203"/>
      <c r="L104" s="203"/>
      <c r="M104" s="204"/>
    </row>
    <row r="105" spans="8:13" x14ac:dyDescent="0.25">
      <c r="H105" s="203"/>
      <c r="I105" s="203"/>
      <c r="J105" s="203"/>
      <c r="K105" s="203"/>
      <c r="L105" s="203"/>
      <c r="M105" s="204"/>
    </row>
    <row r="106" spans="8:13" x14ac:dyDescent="0.25">
      <c r="H106" s="203"/>
      <c r="I106" s="203"/>
      <c r="J106" s="203"/>
      <c r="K106" s="203"/>
      <c r="L106" s="203"/>
      <c r="M106" s="204"/>
    </row>
    <row r="107" spans="8:13" x14ac:dyDescent="0.25">
      <c r="H107" s="203"/>
      <c r="I107" s="203"/>
      <c r="J107" s="203"/>
      <c r="K107" s="203"/>
      <c r="L107" s="203"/>
      <c r="M107" s="204"/>
    </row>
    <row r="108" spans="8:13" x14ac:dyDescent="0.25">
      <c r="H108" s="203"/>
      <c r="I108" s="203"/>
      <c r="J108" s="203"/>
      <c r="K108" s="203"/>
      <c r="L108" s="203"/>
      <c r="M108" s="204"/>
    </row>
    <row r="109" spans="8:13" x14ac:dyDescent="0.25">
      <c r="H109" s="203"/>
      <c r="I109" s="203"/>
      <c r="J109" s="203"/>
      <c r="K109" s="203"/>
      <c r="L109" s="203"/>
      <c r="M109" s="204"/>
    </row>
    <row r="110" spans="8:13" x14ac:dyDescent="0.25">
      <c r="H110" s="203"/>
      <c r="I110" s="203"/>
      <c r="J110" s="203"/>
      <c r="K110" s="203"/>
      <c r="L110" s="203"/>
      <c r="M110" s="204"/>
    </row>
    <row r="111" spans="8:13" x14ac:dyDescent="0.25">
      <c r="H111" s="203"/>
      <c r="I111" s="203"/>
      <c r="J111" s="203"/>
      <c r="K111" s="203"/>
      <c r="L111" s="203"/>
      <c r="M111" s="204"/>
    </row>
    <row r="112" spans="8:13" x14ac:dyDescent="0.25">
      <c r="H112" s="203"/>
      <c r="I112" s="203"/>
      <c r="J112" s="203"/>
      <c r="K112" s="203"/>
      <c r="L112" s="203"/>
      <c r="M112" s="204"/>
    </row>
    <row r="113" spans="8:13" x14ac:dyDescent="0.25">
      <c r="H113" s="203"/>
      <c r="I113" s="203"/>
      <c r="J113" s="203"/>
      <c r="K113" s="203"/>
      <c r="L113" s="203"/>
      <c r="M113" s="204"/>
    </row>
    <row r="114" spans="8:13" x14ac:dyDescent="0.25">
      <c r="H114" s="203"/>
      <c r="I114" s="203"/>
      <c r="J114" s="203"/>
      <c r="K114" s="203"/>
      <c r="L114" s="203"/>
      <c r="M114" s="204"/>
    </row>
    <row r="115" spans="8:13" x14ac:dyDescent="0.25">
      <c r="H115" s="203"/>
      <c r="I115" s="203"/>
      <c r="J115" s="203"/>
      <c r="K115" s="203"/>
      <c r="L115" s="203"/>
      <c r="M115" s="204"/>
    </row>
    <row r="116" spans="8:13" x14ac:dyDescent="0.25">
      <c r="H116" s="203"/>
      <c r="I116" s="203"/>
      <c r="J116" s="203"/>
      <c r="K116" s="203"/>
      <c r="L116" s="203"/>
      <c r="M116" s="204"/>
    </row>
    <row r="117" spans="8:13" x14ac:dyDescent="0.25">
      <c r="H117" s="203"/>
      <c r="I117" s="203"/>
      <c r="J117" s="203"/>
      <c r="K117" s="203"/>
      <c r="L117" s="203"/>
      <c r="M117" s="204"/>
    </row>
    <row r="118" spans="8:13" x14ac:dyDescent="0.25">
      <c r="H118" s="203"/>
      <c r="I118" s="203"/>
      <c r="J118" s="203"/>
      <c r="K118" s="203"/>
      <c r="L118" s="203"/>
      <c r="M118" s="204"/>
    </row>
    <row r="119" spans="8:13" x14ac:dyDescent="0.25">
      <c r="H119" s="203"/>
      <c r="I119" s="203"/>
      <c r="J119" s="203"/>
      <c r="K119" s="203"/>
      <c r="L119" s="203"/>
      <c r="M119" s="204"/>
    </row>
    <row r="120" spans="8:13" x14ac:dyDescent="0.25">
      <c r="H120" s="203"/>
      <c r="I120" s="203"/>
      <c r="J120" s="203"/>
      <c r="K120" s="203"/>
      <c r="L120" s="203"/>
      <c r="M120" s="204"/>
    </row>
    <row r="121" spans="8:13" x14ac:dyDescent="0.25">
      <c r="H121" s="203"/>
      <c r="I121" s="203"/>
      <c r="J121" s="203"/>
      <c r="K121" s="203"/>
      <c r="L121" s="203"/>
      <c r="M121" s="204"/>
    </row>
    <row r="122" spans="8:13" x14ac:dyDescent="0.25">
      <c r="H122" s="203"/>
      <c r="I122" s="203"/>
      <c r="J122" s="203"/>
      <c r="K122" s="203"/>
      <c r="L122" s="203"/>
      <c r="M122" s="204"/>
    </row>
    <row r="123" spans="8:13" x14ac:dyDescent="0.25">
      <c r="H123" s="203"/>
      <c r="I123" s="203"/>
      <c r="J123" s="203"/>
      <c r="K123" s="203"/>
      <c r="L123" s="203"/>
      <c r="M123" s="204"/>
    </row>
    <row r="124" spans="8:13" x14ac:dyDescent="0.25">
      <c r="H124" s="203"/>
      <c r="I124" s="203"/>
      <c r="J124" s="203"/>
      <c r="K124" s="203"/>
      <c r="L124" s="203"/>
      <c r="M124" s="204"/>
    </row>
    <row r="125" spans="8:13" x14ac:dyDescent="0.25">
      <c r="H125" s="203"/>
      <c r="I125" s="203"/>
      <c r="J125" s="203"/>
      <c r="K125" s="203"/>
      <c r="L125" s="203"/>
      <c r="M125" s="204"/>
    </row>
    <row r="126" spans="8:13" x14ac:dyDescent="0.25">
      <c r="H126" s="203"/>
      <c r="I126" s="203"/>
      <c r="J126" s="203"/>
      <c r="K126" s="203"/>
      <c r="L126" s="203"/>
      <c r="M126" s="204"/>
    </row>
    <row r="127" spans="8:13" x14ac:dyDescent="0.25">
      <c r="H127" s="203"/>
      <c r="I127" s="203"/>
      <c r="J127" s="203"/>
      <c r="K127" s="203"/>
      <c r="L127" s="203"/>
      <c r="M127" s="204"/>
    </row>
    <row r="128" spans="8:13" x14ac:dyDescent="0.25">
      <c r="H128" s="203"/>
      <c r="I128" s="203"/>
      <c r="J128" s="203"/>
      <c r="K128" s="203"/>
      <c r="L128" s="203"/>
      <c r="M128" s="204"/>
    </row>
    <row r="129" spans="8:13" x14ac:dyDescent="0.25">
      <c r="H129" s="203"/>
      <c r="I129" s="203"/>
      <c r="J129" s="203"/>
      <c r="K129" s="203"/>
      <c r="L129" s="203"/>
      <c r="M129" s="204"/>
    </row>
    <row r="130" spans="8:13" x14ac:dyDescent="0.25">
      <c r="H130" s="203"/>
      <c r="I130" s="203"/>
      <c r="J130" s="203"/>
      <c r="K130" s="203"/>
      <c r="L130" s="203"/>
      <c r="M130" s="204"/>
    </row>
    <row r="131" spans="8:13" x14ac:dyDescent="0.25">
      <c r="H131" s="203"/>
      <c r="I131" s="203"/>
      <c r="J131" s="203"/>
      <c r="K131" s="203"/>
      <c r="L131" s="203"/>
      <c r="M131" s="204"/>
    </row>
    <row r="132" spans="8:13" x14ac:dyDescent="0.25">
      <c r="H132" s="203"/>
      <c r="I132" s="203"/>
      <c r="J132" s="203"/>
      <c r="K132" s="203"/>
      <c r="L132" s="203"/>
      <c r="M132" s="204"/>
    </row>
    <row r="133" spans="8:13" x14ac:dyDescent="0.25">
      <c r="H133" s="203"/>
      <c r="I133" s="203"/>
      <c r="J133" s="203"/>
      <c r="K133" s="203"/>
      <c r="L133" s="203"/>
      <c r="M133" s="204"/>
    </row>
    <row r="134" spans="8:13" x14ac:dyDescent="0.25">
      <c r="H134" s="203"/>
      <c r="I134" s="203"/>
      <c r="J134" s="203"/>
      <c r="K134" s="203"/>
      <c r="L134" s="203"/>
      <c r="M134" s="204"/>
    </row>
    <row r="135" spans="8:13" x14ac:dyDescent="0.25">
      <c r="H135" s="203"/>
      <c r="I135" s="203"/>
      <c r="J135" s="203"/>
      <c r="K135" s="203"/>
      <c r="L135" s="203"/>
      <c r="M135" s="204"/>
    </row>
    <row r="136" spans="8:13" x14ac:dyDescent="0.25">
      <c r="H136" s="203"/>
      <c r="I136" s="203"/>
      <c r="J136" s="203"/>
      <c r="K136" s="203"/>
      <c r="L136" s="203"/>
      <c r="M136" s="204"/>
    </row>
    <row r="137" spans="8:13" x14ac:dyDescent="0.25">
      <c r="H137" s="203"/>
      <c r="I137" s="203"/>
      <c r="J137" s="203"/>
      <c r="K137" s="203"/>
      <c r="L137" s="203"/>
      <c r="M137" s="204"/>
    </row>
    <row r="138" spans="8:13" x14ac:dyDescent="0.25">
      <c r="H138" s="203"/>
      <c r="I138" s="203"/>
      <c r="J138" s="203"/>
      <c r="K138" s="203"/>
      <c r="L138" s="203"/>
      <c r="M138" s="204"/>
    </row>
    <row r="139" spans="8:13" x14ac:dyDescent="0.25">
      <c r="H139" s="203"/>
      <c r="I139" s="203"/>
      <c r="J139" s="203"/>
      <c r="K139" s="203"/>
      <c r="L139" s="203"/>
      <c r="M139" s="204"/>
    </row>
    <row r="140" spans="8:13" x14ac:dyDescent="0.25">
      <c r="H140" s="203"/>
      <c r="I140" s="203"/>
      <c r="J140" s="203"/>
      <c r="K140" s="203"/>
      <c r="L140" s="203"/>
      <c r="M140" s="204"/>
    </row>
    <row r="141" spans="8:13" x14ac:dyDescent="0.25">
      <c r="H141" s="203"/>
      <c r="I141" s="203"/>
      <c r="J141" s="203"/>
      <c r="K141" s="203"/>
      <c r="L141" s="203"/>
      <c r="M141" s="204"/>
    </row>
    <row r="142" spans="8:13" x14ac:dyDescent="0.25">
      <c r="H142" s="203"/>
      <c r="I142" s="203"/>
      <c r="J142" s="203"/>
      <c r="K142" s="203"/>
      <c r="L142" s="203"/>
      <c r="M142" s="204"/>
    </row>
    <row r="143" spans="8:13" x14ac:dyDescent="0.25">
      <c r="H143" s="203"/>
      <c r="I143" s="203"/>
      <c r="J143" s="203"/>
      <c r="K143" s="203"/>
      <c r="L143" s="203"/>
      <c r="M143" s="204"/>
    </row>
    <row r="144" spans="8:13" x14ac:dyDescent="0.25">
      <c r="H144" s="203"/>
      <c r="I144" s="203"/>
      <c r="J144" s="203"/>
      <c r="K144" s="203"/>
      <c r="L144" s="203"/>
      <c r="M144" s="204"/>
    </row>
    <row r="145" spans="8:13" x14ac:dyDescent="0.25">
      <c r="H145" s="203"/>
      <c r="I145" s="203"/>
      <c r="J145" s="203"/>
      <c r="K145" s="203"/>
      <c r="L145" s="203"/>
      <c r="M145" s="204"/>
    </row>
    <row r="146" spans="8:13" x14ac:dyDescent="0.25">
      <c r="H146" s="203"/>
      <c r="I146" s="203"/>
      <c r="J146" s="203"/>
      <c r="K146" s="203"/>
      <c r="L146" s="203"/>
      <c r="M146" s="204"/>
    </row>
    <row r="147" spans="8:13" x14ac:dyDescent="0.25">
      <c r="H147" s="203"/>
      <c r="I147" s="203"/>
      <c r="J147" s="203"/>
      <c r="K147" s="203"/>
      <c r="L147" s="203"/>
      <c r="M147" s="204"/>
    </row>
    <row r="148" spans="8:13" x14ac:dyDescent="0.25">
      <c r="H148" s="203"/>
      <c r="I148" s="203"/>
      <c r="J148" s="203"/>
      <c r="K148" s="203"/>
      <c r="L148" s="203"/>
      <c r="M148" s="204"/>
    </row>
    <row r="149" spans="8:13" x14ac:dyDescent="0.25">
      <c r="H149" s="203"/>
      <c r="I149" s="203"/>
      <c r="J149" s="203"/>
      <c r="K149" s="203"/>
      <c r="L149" s="203"/>
      <c r="M149" s="204"/>
    </row>
    <row r="150" spans="8:13" x14ac:dyDescent="0.25">
      <c r="H150" s="203"/>
      <c r="I150" s="203"/>
      <c r="J150" s="203"/>
      <c r="K150" s="203"/>
      <c r="L150" s="203"/>
      <c r="M150" s="204"/>
    </row>
    <row r="151" spans="8:13" x14ac:dyDescent="0.25">
      <c r="H151" s="203"/>
      <c r="I151" s="203"/>
      <c r="J151" s="203"/>
      <c r="K151" s="203"/>
      <c r="L151" s="203"/>
      <c r="M151" s="204"/>
    </row>
    <row r="152" spans="8:13" x14ac:dyDescent="0.25">
      <c r="H152" s="203"/>
      <c r="I152" s="203"/>
      <c r="J152" s="203"/>
      <c r="K152" s="203"/>
      <c r="L152" s="203"/>
      <c r="M152" s="204"/>
    </row>
    <row r="153" spans="8:13" x14ac:dyDescent="0.25">
      <c r="H153" s="203"/>
      <c r="I153" s="203"/>
      <c r="J153" s="203"/>
      <c r="K153" s="203"/>
      <c r="L153" s="203"/>
      <c r="M153" s="204"/>
    </row>
    <row r="154" spans="8:13" x14ac:dyDescent="0.25">
      <c r="H154" s="203"/>
      <c r="I154" s="203"/>
      <c r="J154" s="203"/>
      <c r="K154" s="203"/>
      <c r="L154" s="203"/>
      <c r="M154" s="204"/>
    </row>
    <row r="155" spans="8:13" x14ac:dyDescent="0.25">
      <c r="H155" s="203"/>
      <c r="I155" s="203"/>
      <c r="J155" s="203"/>
      <c r="K155" s="203"/>
      <c r="L155" s="203"/>
      <c r="M155" s="204"/>
    </row>
    <row r="156" spans="8:13" x14ac:dyDescent="0.25">
      <c r="H156" s="203"/>
      <c r="I156" s="203"/>
      <c r="J156" s="203"/>
      <c r="K156" s="203"/>
      <c r="L156" s="203"/>
      <c r="M156" s="204"/>
    </row>
    <row r="157" spans="8:13" x14ac:dyDescent="0.25">
      <c r="H157" s="203"/>
      <c r="I157" s="203"/>
      <c r="J157" s="203"/>
      <c r="K157" s="203"/>
      <c r="L157" s="203"/>
      <c r="M157" s="204"/>
    </row>
    <row r="158" spans="8:13" x14ac:dyDescent="0.25">
      <c r="H158" s="203"/>
      <c r="I158" s="203"/>
      <c r="J158" s="203"/>
      <c r="K158" s="203"/>
      <c r="L158" s="203"/>
      <c r="M158" s="204"/>
    </row>
    <row r="159" spans="8:13" x14ac:dyDescent="0.25">
      <c r="H159" s="203"/>
      <c r="I159" s="203"/>
      <c r="J159" s="203"/>
      <c r="K159" s="203"/>
      <c r="L159" s="203"/>
      <c r="M159" s="204"/>
    </row>
    <row r="160" spans="8:13" x14ac:dyDescent="0.25">
      <c r="H160" s="203"/>
      <c r="I160" s="203"/>
      <c r="J160" s="203"/>
      <c r="K160" s="203"/>
      <c r="L160" s="203"/>
      <c r="M160" s="204"/>
    </row>
    <row r="161" spans="8:13" x14ac:dyDescent="0.25">
      <c r="H161" s="203"/>
      <c r="I161" s="203"/>
      <c r="J161" s="203"/>
      <c r="K161" s="203"/>
      <c r="L161" s="203"/>
      <c r="M161" s="204"/>
    </row>
    <row r="162" spans="8:13" x14ac:dyDescent="0.25">
      <c r="H162" s="203"/>
      <c r="I162" s="203"/>
      <c r="J162" s="203"/>
      <c r="K162" s="203"/>
      <c r="L162" s="203"/>
      <c r="M162" s="204"/>
    </row>
    <row r="163" spans="8:13" x14ac:dyDescent="0.25">
      <c r="H163" s="203"/>
      <c r="I163" s="203"/>
      <c r="J163" s="203"/>
      <c r="K163" s="203"/>
      <c r="L163" s="203"/>
      <c r="M163" s="204"/>
    </row>
    <row r="164" spans="8:13" x14ac:dyDescent="0.25">
      <c r="H164" s="203"/>
      <c r="I164" s="203"/>
      <c r="J164" s="203"/>
      <c r="K164" s="203"/>
      <c r="L164" s="203"/>
      <c r="M164" s="204"/>
    </row>
    <row r="165" spans="8:13" x14ac:dyDescent="0.25">
      <c r="H165" s="203"/>
      <c r="I165" s="203"/>
      <c r="J165" s="203"/>
      <c r="K165" s="203"/>
      <c r="L165" s="203"/>
      <c r="M165" s="204"/>
    </row>
    <row r="166" spans="8:13" x14ac:dyDescent="0.25">
      <c r="H166" s="203"/>
      <c r="I166" s="203"/>
      <c r="J166" s="203"/>
      <c r="K166" s="203"/>
      <c r="L166" s="203"/>
      <c r="M166" s="204"/>
    </row>
    <row r="167" spans="8:13" x14ac:dyDescent="0.25">
      <c r="H167" s="203"/>
      <c r="I167" s="203"/>
      <c r="J167" s="203"/>
      <c r="K167" s="203"/>
      <c r="L167" s="203"/>
      <c r="M167" s="204"/>
    </row>
    <row r="168" spans="8:13" x14ac:dyDescent="0.25">
      <c r="H168" s="203"/>
      <c r="I168" s="203"/>
      <c r="J168" s="203"/>
      <c r="K168" s="203"/>
      <c r="L168" s="203"/>
      <c r="M168" s="204"/>
    </row>
    <row r="169" spans="8:13" x14ac:dyDescent="0.25">
      <c r="H169" s="203"/>
      <c r="I169" s="203"/>
      <c r="J169" s="203"/>
      <c r="K169" s="203"/>
      <c r="L169" s="203"/>
      <c r="M169" s="204"/>
    </row>
    <row r="170" spans="8:13" x14ac:dyDescent="0.25">
      <c r="H170" s="203"/>
      <c r="I170" s="203"/>
      <c r="J170" s="203"/>
      <c r="K170" s="203"/>
      <c r="L170" s="203"/>
      <c r="M170" s="204"/>
    </row>
    <row r="171" spans="8:13" x14ac:dyDescent="0.25">
      <c r="H171" s="203"/>
      <c r="I171" s="203"/>
      <c r="J171" s="203"/>
      <c r="K171" s="203"/>
      <c r="L171" s="203"/>
      <c r="M171" s="204"/>
    </row>
    <row r="172" spans="8:13" x14ac:dyDescent="0.25">
      <c r="H172" s="203"/>
      <c r="I172" s="203"/>
      <c r="J172" s="203"/>
      <c r="K172" s="203"/>
      <c r="L172" s="203"/>
      <c r="M172" s="204"/>
    </row>
    <row r="173" spans="8:13" x14ac:dyDescent="0.25">
      <c r="H173" s="203"/>
      <c r="I173" s="203"/>
      <c r="J173" s="203"/>
      <c r="K173" s="203"/>
      <c r="L173" s="203"/>
      <c r="M173" s="204"/>
    </row>
    <row r="174" spans="8:13" x14ac:dyDescent="0.25">
      <c r="H174" s="203"/>
      <c r="I174" s="203"/>
      <c r="J174" s="203"/>
      <c r="K174" s="203"/>
      <c r="L174" s="203"/>
      <c r="M174" s="204"/>
    </row>
    <row r="175" spans="8:13" x14ac:dyDescent="0.25">
      <c r="H175" s="203"/>
      <c r="I175" s="203"/>
      <c r="J175" s="203"/>
      <c r="K175" s="203"/>
      <c r="L175" s="203"/>
      <c r="M175" s="204"/>
    </row>
    <row r="176" spans="8:13" x14ac:dyDescent="0.25">
      <c r="H176" s="203"/>
      <c r="I176" s="203"/>
      <c r="J176" s="203"/>
      <c r="K176" s="203"/>
      <c r="L176" s="203"/>
      <c r="M176" s="204"/>
    </row>
    <row r="177" spans="8:13" x14ac:dyDescent="0.25">
      <c r="H177" s="203"/>
      <c r="I177" s="203"/>
      <c r="J177" s="203"/>
      <c r="K177" s="203"/>
      <c r="L177" s="203"/>
      <c r="M177" s="204"/>
    </row>
    <row r="178" spans="8:13" x14ac:dyDescent="0.25">
      <c r="H178" s="203"/>
      <c r="I178" s="203"/>
      <c r="J178" s="203"/>
      <c r="K178" s="203"/>
      <c r="L178" s="203"/>
      <c r="M178" s="204"/>
    </row>
    <row r="179" spans="8:13" x14ac:dyDescent="0.25">
      <c r="H179" s="203"/>
      <c r="I179" s="203"/>
      <c r="J179" s="203"/>
      <c r="K179" s="203"/>
      <c r="L179" s="203"/>
      <c r="M179" s="204"/>
    </row>
    <row r="180" spans="8:13" x14ac:dyDescent="0.25">
      <c r="H180" s="203"/>
      <c r="I180" s="203"/>
      <c r="J180" s="203"/>
      <c r="K180" s="203"/>
      <c r="L180" s="203"/>
      <c r="M180" s="204"/>
    </row>
    <row r="181" spans="8:13" x14ac:dyDescent="0.25">
      <c r="H181" s="203"/>
      <c r="I181" s="203"/>
      <c r="J181" s="203"/>
      <c r="K181" s="203"/>
      <c r="L181" s="203"/>
      <c r="M181" s="204"/>
    </row>
    <row r="182" spans="8:13" x14ac:dyDescent="0.25">
      <c r="H182" s="203"/>
      <c r="I182" s="203"/>
      <c r="J182" s="203"/>
      <c r="K182" s="203"/>
      <c r="L182" s="203"/>
      <c r="M182" s="204"/>
    </row>
    <row r="183" spans="8:13" x14ac:dyDescent="0.25">
      <c r="H183" s="203"/>
      <c r="I183" s="203"/>
      <c r="J183" s="203"/>
      <c r="K183" s="203"/>
      <c r="L183" s="203"/>
      <c r="M183" s="204"/>
    </row>
    <row r="184" spans="8:13" x14ac:dyDescent="0.25">
      <c r="H184" s="203"/>
      <c r="I184" s="203"/>
      <c r="J184" s="203"/>
      <c r="K184" s="203"/>
      <c r="L184" s="203"/>
      <c r="M184" s="204"/>
    </row>
    <row r="185" spans="8:13" x14ac:dyDescent="0.25">
      <c r="H185" s="203"/>
      <c r="I185" s="203"/>
      <c r="J185" s="203"/>
      <c r="K185" s="203"/>
      <c r="L185" s="203"/>
      <c r="M185" s="204"/>
    </row>
    <row r="186" spans="8:13" x14ac:dyDescent="0.25">
      <c r="H186" s="203"/>
      <c r="I186" s="203"/>
      <c r="J186" s="203"/>
      <c r="K186" s="203"/>
      <c r="L186" s="203"/>
      <c r="M186" s="204"/>
    </row>
    <row r="187" spans="8:13" x14ac:dyDescent="0.25">
      <c r="H187" s="203"/>
      <c r="I187" s="203"/>
      <c r="J187" s="203"/>
      <c r="K187" s="203"/>
      <c r="L187" s="203"/>
      <c r="M187" s="204"/>
    </row>
    <row r="188" spans="8:13" x14ac:dyDescent="0.25">
      <c r="H188" s="203"/>
      <c r="I188" s="203"/>
      <c r="J188" s="203"/>
      <c r="K188" s="203"/>
      <c r="L188" s="203"/>
      <c r="M188" s="204"/>
    </row>
    <row r="189" spans="8:13" x14ac:dyDescent="0.25">
      <c r="H189" s="203"/>
      <c r="I189" s="203"/>
      <c r="J189" s="203"/>
      <c r="K189" s="203"/>
      <c r="L189" s="203"/>
      <c r="M189" s="204"/>
    </row>
    <row r="190" spans="8:13" x14ac:dyDescent="0.25">
      <c r="H190" s="203"/>
      <c r="I190" s="203"/>
      <c r="J190" s="203"/>
      <c r="K190" s="203"/>
      <c r="L190" s="203"/>
      <c r="M190" s="204"/>
    </row>
    <row r="191" spans="8:13" x14ac:dyDescent="0.25">
      <c r="H191" s="203"/>
      <c r="I191" s="203"/>
      <c r="J191" s="203"/>
      <c r="K191" s="203"/>
      <c r="L191" s="203"/>
      <c r="M191" s="204"/>
    </row>
    <row r="192" spans="8:13" x14ac:dyDescent="0.25">
      <c r="H192" s="203"/>
      <c r="I192" s="203"/>
      <c r="J192" s="203"/>
      <c r="K192" s="203"/>
      <c r="L192" s="203"/>
      <c r="M192" s="204"/>
    </row>
    <row r="193" spans="8:13" x14ac:dyDescent="0.25">
      <c r="H193" s="203"/>
      <c r="I193" s="203"/>
      <c r="J193" s="203"/>
      <c r="K193" s="203"/>
      <c r="L193" s="203"/>
      <c r="M193" s="204"/>
    </row>
    <row r="194" spans="8:13" x14ac:dyDescent="0.25">
      <c r="H194" s="203"/>
      <c r="I194" s="203"/>
      <c r="J194" s="203"/>
      <c r="K194" s="203"/>
      <c r="L194" s="203"/>
      <c r="M194" s="204"/>
    </row>
    <row r="195" spans="8:13" x14ac:dyDescent="0.25">
      <c r="H195" s="203"/>
      <c r="I195" s="203"/>
      <c r="J195" s="203"/>
      <c r="K195" s="203"/>
      <c r="L195" s="203"/>
      <c r="M195" s="204"/>
    </row>
    <row r="196" spans="8:13" x14ac:dyDescent="0.25">
      <c r="H196" s="203"/>
      <c r="I196" s="203"/>
      <c r="J196" s="203"/>
      <c r="K196" s="203"/>
      <c r="L196" s="203"/>
      <c r="M196" s="204"/>
    </row>
    <row r="197" spans="8:13" x14ac:dyDescent="0.25">
      <c r="H197" s="203"/>
      <c r="I197" s="203"/>
      <c r="J197" s="203"/>
      <c r="K197" s="203"/>
      <c r="L197" s="203"/>
      <c r="M197" s="204"/>
    </row>
    <row r="198" spans="8:13" x14ac:dyDescent="0.25">
      <c r="H198" s="203"/>
      <c r="I198" s="203"/>
      <c r="J198" s="203"/>
      <c r="K198" s="203"/>
      <c r="L198" s="203"/>
      <c r="M198" s="204"/>
    </row>
    <row r="199" spans="8:13" x14ac:dyDescent="0.25">
      <c r="H199" s="203"/>
      <c r="I199" s="203"/>
      <c r="J199" s="203"/>
      <c r="K199" s="203"/>
      <c r="L199" s="203"/>
      <c r="M199" s="204"/>
    </row>
    <row r="200" spans="8:13" x14ac:dyDescent="0.25">
      <c r="H200" s="203"/>
      <c r="I200" s="203"/>
      <c r="J200" s="203"/>
      <c r="K200" s="203"/>
      <c r="L200" s="203"/>
      <c r="M200" s="204"/>
    </row>
    <row r="201" spans="8:13" x14ac:dyDescent="0.25">
      <c r="H201" s="203"/>
      <c r="I201" s="203"/>
      <c r="J201" s="203"/>
      <c r="K201" s="203"/>
      <c r="L201" s="203"/>
      <c r="M201" s="204"/>
    </row>
    <row r="202" spans="8:13" x14ac:dyDescent="0.25">
      <c r="H202" s="203"/>
      <c r="I202" s="203"/>
      <c r="J202" s="203"/>
      <c r="K202" s="203"/>
      <c r="L202" s="203"/>
      <c r="M202" s="204"/>
    </row>
    <row r="203" spans="8:13" x14ac:dyDescent="0.25">
      <c r="H203" s="203"/>
      <c r="I203" s="203"/>
      <c r="J203" s="203"/>
      <c r="K203" s="203"/>
      <c r="L203" s="203"/>
      <c r="M203" s="204"/>
    </row>
    <row r="204" spans="8:13" x14ac:dyDescent="0.25">
      <c r="H204" s="203"/>
      <c r="I204" s="203"/>
      <c r="J204" s="203"/>
      <c r="K204" s="203"/>
      <c r="L204" s="203"/>
      <c r="M204" s="204"/>
    </row>
    <row r="205" spans="8:13" x14ac:dyDescent="0.25">
      <c r="H205" s="203"/>
      <c r="I205" s="203"/>
      <c r="J205" s="203"/>
      <c r="K205" s="203"/>
      <c r="L205" s="203"/>
      <c r="M205" s="204"/>
    </row>
    <row r="206" spans="8:13" x14ac:dyDescent="0.25">
      <c r="H206" s="203"/>
      <c r="I206" s="203"/>
      <c r="J206" s="203"/>
      <c r="K206" s="203"/>
      <c r="L206" s="203"/>
      <c r="M206" s="204"/>
    </row>
    <row r="207" spans="8:13" x14ac:dyDescent="0.25">
      <c r="H207" s="203"/>
      <c r="I207" s="203"/>
      <c r="J207" s="203"/>
      <c r="K207" s="203"/>
      <c r="L207" s="203"/>
      <c r="M207" s="204"/>
    </row>
    <row r="208" spans="8:13" x14ac:dyDescent="0.25">
      <c r="H208" s="203"/>
      <c r="I208" s="203"/>
      <c r="J208" s="203"/>
      <c r="K208" s="203"/>
      <c r="L208" s="203"/>
      <c r="M208" s="204"/>
    </row>
    <row r="209" spans="8:13" x14ac:dyDescent="0.25">
      <c r="H209" s="203"/>
      <c r="I209" s="203"/>
      <c r="J209" s="203"/>
      <c r="K209" s="203"/>
      <c r="L209" s="203"/>
      <c r="M209" s="204"/>
    </row>
    <row r="210" spans="8:13" x14ac:dyDescent="0.25">
      <c r="H210" s="203"/>
      <c r="I210" s="203"/>
      <c r="J210" s="203"/>
      <c r="K210" s="203"/>
      <c r="L210" s="203"/>
      <c r="M210" s="204"/>
    </row>
    <row r="211" spans="8:13" x14ac:dyDescent="0.25">
      <c r="H211" s="203"/>
      <c r="I211" s="203"/>
      <c r="J211" s="203"/>
      <c r="K211" s="203"/>
      <c r="L211" s="203"/>
      <c r="M211" s="204"/>
    </row>
    <row r="212" spans="8:13" x14ac:dyDescent="0.25">
      <c r="H212" s="203"/>
      <c r="I212" s="203"/>
      <c r="J212" s="203"/>
      <c r="K212" s="203"/>
      <c r="L212" s="203"/>
      <c r="M212" s="204"/>
    </row>
    <row r="213" spans="8:13" x14ac:dyDescent="0.25">
      <c r="H213" s="203"/>
      <c r="I213" s="203"/>
      <c r="J213" s="203"/>
      <c r="K213" s="203"/>
      <c r="L213" s="203"/>
      <c r="M213" s="204"/>
    </row>
    <row r="214" spans="8:13" x14ac:dyDescent="0.25">
      <c r="H214" s="203"/>
      <c r="I214" s="203"/>
      <c r="J214" s="203"/>
      <c r="K214" s="203"/>
      <c r="L214" s="203"/>
      <c r="M214" s="204"/>
    </row>
    <row r="215" spans="8:13" x14ac:dyDescent="0.25">
      <c r="H215" s="203"/>
      <c r="I215" s="203"/>
      <c r="J215" s="203"/>
      <c r="K215" s="203"/>
      <c r="L215" s="203"/>
      <c r="M215" s="204"/>
    </row>
    <row r="216" spans="8:13" x14ac:dyDescent="0.25">
      <c r="H216" s="203"/>
      <c r="I216" s="203"/>
      <c r="J216" s="203"/>
      <c r="K216" s="203"/>
      <c r="L216" s="203"/>
      <c r="M216" s="204"/>
    </row>
    <row r="217" spans="8:13" x14ac:dyDescent="0.25">
      <c r="H217" s="203"/>
      <c r="I217" s="203"/>
      <c r="J217" s="203"/>
      <c r="K217" s="203"/>
      <c r="L217" s="203"/>
      <c r="M217" s="204"/>
    </row>
    <row r="218" spans="8:13" x14ac:dyDescent="0.25">
      <c r="H218" s="203"/>
      <c r="I218" s="203"/>
      <c r="J218" s="203"/>
      <c r="K218" s="203"/>
      <c r="L218" s="203"/>
      <c r="M218" s="204"/>
    </row>
    <row r="219" spans="8:13" x14ac:dyDescent="0.25">
      <c r="H219" s="203"/>
      <c r="I219" s="203"/>
      <c r="J219" s="203"/>
      <c r="K219" s="203"/>
      <c r="L219" s="203"/>
      <c r="M219" s="204"/>
    </row>
    <row r="220" spans="8:13" x14ac:dyDescent="0.25">
      <c r="H220" s="203"/>
      <c r="I220" s="203"/>
      <c r="J220" s="203"/>
      <c r="K220" s="203"/>
      <c r="L220" s="203"/>
      <c r="M220" s="204"/>
    </row>
    <row r="221" spans="8:13" x14ac:dyDescent="0.25">
      <c r="H221" s="203"/>
      <c r="I221" s="203"/>
      <c r="J221" s="203"/>
      <c r="K221" s="203"/>
      <c r="L221" s="203"/>
      <c r="M221" s="204"/>
    </row>
    <row r="222" spans="8:13" x14ac:dyDescent="0.25">
      <c r="H222" s="203"/>
      <c r="I222" s="203"/>
      <c r="J222" s="203"/>
      <c r="K222" s="203"/>
      <c r="L222" s="203"/>
      <c r="M222" s="204"/>
    </row>
    <row r="223" spans="8:13" x14ac:dyDescent="0.25">
      <c r="H223" s="203"/>
      <c r="I223" s="203"/>
      <c r="J223" s="203"/>
      <c r="K223" s="203"/>
      <c r="L223" s="203"/>
      <c r="M223" s="204"/>
    </row>
    <row r="224" spans="8:13" x14ac:dyDescent="0.25">
      <c r="H224" s="203"/>
      <c r="I224" s="203"/>
      <c r="J224" s="203"/>
      <c r="K224" s="203"/>
      <c r="L224" s="203"/>
      <c r="M224" s="204"/>
    </row>
    <row r="225" spans="8:13" x14ac:dyDescent="0.25">
      <c r="H225" s="203"/>
      <c r="I225" s="203"/>
      <c r="J225" s="203"/>
      <c r="K225" s="203"/>
      <c r="L225" s="203"/>
      <c r="M225" s="204"/>
    </row>
    <row r="226" spans="8:13" x14ac:dyDescent="0.25">
      <c r="H226" s="203"/>
      <c r="I226" s="203"/>
      <c r="J226" s="203"/>
      <c r="K226" s="203"/>
      <c r="L226" s="203"/>
      <c r="M226" s="204"/>
    </row>
    <row r="227" spans="8:13" x14ac:dyDescent="0.25">
      <c r="H227" s="203"/>
      <c r="I227" s="203"/>
      <c r="J227" s="203"/>
      <c r="K227" s="203"/>
      <c r="L227" s="203"/>
      <c r="M227" s="204"/>
    </row>
    <row r="228" spans="8:13" x14ac:dyDescent="0.25">
      <c r="H228" s="203"/>
      <c r="I228" s="203"/>
      <c r="J228" s="203"/>
      <c r="K228" s="203"/>
      <c r="L228" s="203"/>
      <c r="M228" s="204"/>
    </row>
    <row r="229" spans="8:13" x14ac:dyDescent="0.25">
      <c r="H229" s="203"/>
      <c r="I229" s="203"/>
      <c r="J229" s="203"/>
      <c r="K229" s="203"/>
      <c r="L229" s="203"/>
      <c r="M229" s="204"/>
    </row>
    <row r="230" spans="8:13" x14ac:dyDescent="0.25">
      <c r="H230" s="203"/>
      <c r="I230" s="203"/>
      <c r="J230" s="203"/>
      <c r="K230" s="203"/>
      <c r="L230" s="203"/>
      <c r="M230" s="204"/>
    </row>
    <row r="231" spans="8:13" x14ac:dyDescent="0.25">
      <c r="H231" s="203"/>
      <c r="I231" s="203"/>
      <c r="J231" s="203"/>
      <c r="K231" s="203"/>
      <c r="L231" s="203"/>
      <c r="M231" s="204"/>
    </row>
    <row r="232" spans="8:13" x14ac:dyDescent="0.25">
      <c r="H232" s="203"/>
      <c r="I232" s="203"/>
      <c r="J232" s="203"/>
      <c r="K232" s="203"/>
      <c r="L232" s="203"/>
      <c r="M232" s="204"/>
    </row>
    <row r="233" spans="8:13" x14ac:dyDescent="0.25">
      <c r="H233" s="203"/>
      <c r="I233" s="203"/>
      <c r="J233" s="203"/>
      <c r="K233" s="203"/>
      <c r="L233" s="203"/>
      <c r="M233" s="204"/>
    </row>
    <row r="234" spans="8:13" x14ac:dyDescent="0.25">
      <c r="H234" s="203"/>
      <c r="I234" s="203"/>
      <c r="J234" s="203"/>
      <c r="K234" s="203"/>
      <c r="L234" s="203"/>
      <c r="M234" s="204"/>
    </row>
    <row r="235" spans="8:13" x14ac:dyDescent="0.25">
      <c r="H235" s="203"/>
      <c r="I235" s="203"/>
      <c r="J235" s="203"/>
      <c r="K235" s="203"/>
      <c r="L235" s="203"/>
      <c r="M235" s="204"/>
    </row>
    <row r="236" spans="8:13" x14ac:dyDescent="0.25">
      <c r="H236" s="203"/>
      <c r="I236" s="203"/>
      <c r="J236" s="203"/>
      <c r="K236" s="203"/>
      <c r="L236" s="203"/>
      <c r="M236" s="204"/>
    </row>
    <row r="237" spans="8:13" x14ac:dyDescent="0.25">
      <c r="H237" s="203"/>
      <c r="I237" s="203"/>
      <c r="J237" s="203"/>
      <c r="K237" s="203"/>
      <c r="L237" s="203"/>
      <c r="M237" s="204"/>
    </row>
    <row r="238" spans="8:13" x14ac:dyDescent="0.25">
      <c r="H238" s="203"/>
      <c r="I238" s="203"/>
      <c r="J238" s="203"/>
      <c r="K238" s="203"/>
      <c r="L238" s="203"/>
      <c r="M238" s="204"/>
    </row>
    <row r="239" spans="8:13" x14ac:dyDescent="0.25">
      <c r="H239" s="203"/>
      <c r="I239" s="203"/>
      <c r="J239" s="203"/>
      <c r="K239" s="203"/>
      <c r="L239" s="203"/>
      <c r="M239" s="204"/>
    </row>
    <row r="240" spans="8:13" x14ac:dyDescent="0.25">
      <c r="H240" s="203"/>
      <c r="I240" s="203"/>
      <c r="J240" s="203"/>
      <c r="K240" s="203"/>
      <c r="L240" s="203"/>
      <c r="M240" s="204"/>
    </row>
    <row r="241" spans="8:13" x14ac:dyDescent="0.25">
      <c r="H241" s="203"/>
      <c r="I241" s="203"/>
      <c r="J241" s="203"/>
      <c r="K241" s="203"/>
      <c r="L241" s="203"/>
      <c r="M241" s="204"/>
    </row>
    <row r="242" spans="8:13" x14ac:dyDescent="0.25">
      <c r="H242" s="203"/>
      <c r="I242" s="203"/>
      <c r="J242" s="203"/>
      <c r="K242" s="203"/>
      <c r="L242" s="203"/>
      <c r="M242" s="204"/>
    </row>
    <row r="243" spans="8:13" x14ac:dyDescent="0.25">
      <c r="H243" s="203"/>
      <c r="I243" s="203"/>
      <c r="J243" s="203"/>
      <c r="K243" s="203"/>
      <c r="L243" s="203"/>
      <c r="M243" s="204"/>
    </row>
    <row r="244" spans="8:13" x14ac:dyDescent="0.25">
      <c r="H244" s="203"/>
      <c r="I244" s="203"/>
      <c r="J244" s="203"/>
      <c r="K244" s="203"/>
      <c r="L244" s="203"/>
      <c r="M244" s="204"/>
    </row>
    <row r="245" spans="8:13" x14ac:dyDescent="0.25">
      <c r="H245" s="203"/>
      <c r="I245" s="203"/>
      <c r="J245" s="203"/>
      <c r="K245" s="203"/>
      <c r="L245" s="203"/>
      <c r="M245" s="204"/>
    </row>
    <row r="246" spans="8:13" x14ac:dyDescent="0.25">
      <c r="H246" s="203"/>
      <c r="I246" s="203"/>
      <c r="J246" s="203"/>
      <c r="K246" s="203"/>
      <c r="L246" s="203"/>
      <c r="M246" s="204"/>
    </row>
    <row r="247" spans="8:13" x14ac:dyDescent="0.25">
      <c r="H247" s="203"/>
      <c r="I247" s="203"/>
      <c r="J247" s="203"/>
      <c r="K247" s="203"/>
      <c r="L247" s="203"/>
      <c r="M247" s="204"/>
    </row>
    <row r="248" spans="8:13" x14ac:dyDescent="0.25">
      <c r="H248" s="203"/>
      <c r="I248" s="203"/>
      <c r="J248" s="203"/>
      <c r="K248" s="203"/>
      <c r="L248" s="203"/>
      <c r="M248" s="204"/>
    </row>
    <row r="249" spans="8:13" x14ac:dyDescent="0.25">
      <c r="H249" s="203"/>
      <c r="I249" s="203"/>
      <c r="J249" s="203"/>
      <c r="K249" s="203"/>
      <c r="L249" s="203"/>
      <c r="M249" s="204"/>
    </row>
    <row r="250" spans="8:13" x14ac:dyDescent="0.25">
      <c r="H250" s="203"/>
      <c r="I250" s="203"/>
      <c r="J250" s="203"/>
      <c r="K250" s="203"/>
      <c r="L250" s="203"/>
      <c r="M250" s="204"/>
    </row>
    <row r="251" spans="8:13" x14ac:dyDescent="0.25">
      <c r="H251" s="203"/>
      <c r="I251" s="203"/>
      <c r="J251" s="203"/>
      <c r="K251" s="203"/>
      <c r="L251" s="203"/>
      <c r="M251" s="204"/>
    </row>
    <row r="252" spans="8:13" x14ac:dyDescent="0.25">
      <c r="H252" s="203"/>
      <c r="I252" s="203"/>
      <c r="J252" s="203"/>
      <c r="K252" s="203"/>
      <c r="L252" s="203"/>
      <c r="M252" s="204"/>
    </row>
    <row r="253" spans="8:13" x14ac:dyDescent="0.25">
      <c r="H253" s="203"/>
      <c r="I253" s="203"/>
      <c r="J253" s="203"/>
      <c r="K253" s="203"/>
      <c r="L253" s="203"/>
      <c r="M253" s="204"/>
    </row>
    <row r="254" spans="8:13" x14ac:dyDescent="0.25">
      <c r="H254" s="203"/>
      <c r="I254" s="203"/>
      <c r="J254" s="203"/>
      <c r="K254" s="203"/>
      <c r="L254" s="203"/>
      <c r="M254" s="204"/>
    </row>
    <row r="255" spans="8:13" x14ac:dyDescent="0.25">
      <c r="H255" s="203"/>
      <c r="I255" s="203"/>
      <c r="J255" s="203"/>
      <c r="K255" s="203"/>
      <c r="L255" s="203"/>
      <c r="M255" s="204"/>
    </row>
    <row r="256" spans="8:13" x14ac:dyDescent="0.25">
      <c r="H256" s="203"/>
      <c r="I256" s="203"/>
      <c r="J256" s="203"/>
      <c r="K256" s="203"/>
      <c r="L256" s="203"/>
      <c r="M256" s="204"/>
    </row>
    <row r="257" spans="8:13" x14ac:dyDescent="0.25">
      <c r="H257" s="203"/>
      <c r="I257" s="203"/>
      <c r="J257" s="203"/>
      <c r="K257" s="203"/>
      <c r="L257" s="203"/>
      <c r="M257" s="204"/>
    </row>
    <row r="258" spans="8:13" x14ac:dyDescent="0.25">
      <c r="H258" s="203"/>
      <c r="I258" s="203"/>
      <c r="J258" s="203"/>
      <c r="K258" s="203"/>
      <c r="L258" s="203"/>
      <c r="M258" s="204"/>
    </row>
    <row r="259" spans="8:13" x14ac:dyDescent="0.25">
      <c r="H259" s="203"/>
      <c r="I259" s="203"/>
      <c r="J259" s="203"/>
      <c r="K259" s="203"/>
      <c r="L259" s="203"/>
      <c r="M259" s="204"/>
    </row>
    <row r="260" spans="8:13" x14ac:dyDescent="0.25">
      <c r="H260" s="203"/>
      <c r="I260" s="203"/>
      <c r="J260" s="203"/>
      <c r="K260" s="203"/>
      <c r="L260" s="203"/>
      <c r="M260" s="204"/>
    </row>
    <row r="261" spans="8:13" x14ac:dyDescent="0.25">
      <c r="H261" s="203"/>
      <c r="I261" s="203"/>
      <c r="J261" s="203"/>
      <c r="K261" s="203"/>
      <c r="L261" s="203"/>
      <c r="M261" s="204"/>
    </row>
    <row r="262" spans="8:13" x14ac:dyDescent="0.25">
      <c r="H262" s="203"/>
      <c r="I262" s="203"/>
      <c r="J262" s="203"/>
      <c r="K262" s="203"/>
      <c r="L262" s="203"/>
      <c r="M262" s="204"/>
    </row>
    <row r="263" spans="8:13" x14ac:dyDescent="0.25">
      <c r="H263" s="203"/>
      <c r="I263" s="203"/>
      <c r="J263" s="203"/>
      <c r="K263" s="203"/>
      <c r="L263" s="203"/>
      <c r="M263" s="204"/>
    </row>
    <row r="264" spans="8:13" x14ac:dyDescent="0.25">
      <c r="H264" s="203"/>
      <c r="I264" s="203"/>
      <c r="J264" s="203"/>
      <c r="K264" s="203"/>
      <c r="L264" s="203"/>
      <c r="M264" s="204"/>
    </row>
    <row r="265" spans="8:13" x14ac:dyDescent="0.25">
      <c r="H265" s="203"/>
      <c r="I265" s="203"/>
      <c r="J265" s="203"/>
      <c r="K265" s="203"/>
      <c r="L265" s="203"/>
      <c r="M265" s="204"/>
    </row>
    <row r="266" spans="8:13" x14ac:dyDescent="0.25">
      <c r="H266" s="203"/>
      <c r="I266" s="203"/>
      <c r="J266" s="203"/>
      <c r="K266" s="203"/>
      <c r="L266" s="203"/>
      <c r="M266" s="204"/>
    </row>
    <row r="267" spans="8:13" x14ac:dyDescent="0.25">
      <c r="H267" s="203"/>
      <c r="I267" s="203"/>
      <c r="J267" s="203"/>
      <c r="K267" s="203"/>
      <c r="L267" s="203"/>
      <c r="M267" s="204"/>
    </row>
    <row r="268" spans="8:13" x14ac:dyDescent="0.25">
      <c r="H268" s="203"/>
      <c r="I268" s="203"/>
      <c r="J268" s="203"/>
      <c r="K268" s="203"/>
      <c r="L268" s="203"/>
      <c r="M268" s="204"/>
    </row>
    <row r="269" spans="8:13" x14ac:dyDescent="0.25">
      <c r="H269" s="203"/>
      <c r="I269" s="203"/>
      <c r="J269" s="203"/>
      <c r="K269" s="203"/>
      <c r="L269" s="203"/>
      <c r="M269" s="204"/>
    </row>
    <row r="270" spans="8:13" x14ac:dyDescent="0.25">
      <c r="H270" s="203"/>
      <c r="I270" s="203"/>
      <c r="J270" s="203"/>
      <c r="K270" s="203"/>
      <c r="L270" s="203"/>
      <c r="M270" s="204"/>
    </row>
    <row r="271" spans="8:13" x14ac:dyDescent="0.25">
      <c r="H271" s="203"/>
      <c r="I271" s="203"/>
      <c r="J271" s="203"/>
      <c r="K271" s="203"/>
      <c r="L271" s="203"/>
      <c r="M271" s="204"/>
    </row>
    <row r="272" spans="8:13" x14ac:dyDescent="0.25">
      <c r="H272" s="203"/>
      <c r="I272" s="203"/>
      <c r="J272" s="203"/>
      <c r="K272" s="203"/>
      <c r="L272" s="203"/>
      <c r="M272" s="204"/>
    </row>
    <row r="273" spans="8:13" x14ac:dyDescent="0.25">
      <c r="H273" s="203"/>
      <c r="I273" s="203"/>
      <c r="J273" s="203"/>
      <c r="K273" s="203"/>
      <c r="L273" s="203"/>
      <c r="M273" s="204"/>
    </row>
    <row r="274" spans="8:13" x14ac:dyDescent="0.25">
      <c r="H274" s="203"/>
      <c r="I274" s="203"/>
      <c r="J274" s="203"/>
      <c r="K274" s="203"/>
      <c r="L274" s="203"/>
      <c r="M274" s="204"/>
    </row>
    <row r="275" spans="8:13" x14ac:dyDescent="0.25">
      <c r="H275" s="203"/>
      <c r="I275" s="203"/>
      <c r="J275" s="203"/>
      <c r="K275" s="203"/>
      <c r="L275" s="203"/>
      <c r="M275" s="204"/>
    </row>
    <row r="276" spans="8:13" x14ac:dyDescent="0.25">
      <c r="H276" s="203"/>
      <c r="I276" s="203"/>
      <c r="J276" s="203"/>
      <c r="K276" s="203"/>
      <c r="L276" s="203"/>
      <c r="M276" s="204"/>
    </row>
    <row r="277" spans="8:13" x14ac:dyDescent="0.25">
      <c r="H277" s="203"/>
      <c r="I277" s="203"/>
      <c r="J277" s="203"/>
      <c r="K277" s="203"/>
      <c r="L277" s="203"/>
      <c r="M277" s="204"/>
    </row>
    <row r="278" spans="8:13" x14ac:dyDescent="0.25">
      <c r="H278" s="203"/>
      <c r="I278" s="203"/>
      <c r="J278" s="203"/>
      <c r="K278" s="203"/>
      <c r="L278" s="203"/>
      <c r="M278" s="204"/>
    </row>
    <row r="279" spans="8:13" x14ac:dyDescent="0.25">
      <c r="H279" s="203"/>
      <c r="I279" s="203"/>
      <c r="J279" s="203"/>
      <c r="K279" s="203"/>
      <c r="L279" s="203"/>
      <c r="M279" s="204"/>
    </row>
    <row r="280" spans="8:13" x14ac:dyDescent="0.25">
      <c r="H280" s="203"/>
      <c r="I280" s="203"/>
      <c r="J280" s="203"/>
      <c r="K280" s="203"/>
      <c r="L280" s="203"/>
      <c r="M280" s="204"/>
    </row>
    <row r="281" spans="8:13" x14ac:dyDescent="0.25">
      <c r="H281" s="203"/>
      <c r="I281" s="203"/>
      <c r="J281" s="203"/>
      <c r="K281" s="203"/>
      <c r="L281" s="203"/>
      <c r="M281" s="204"/>
    </row>
    <row r="282" spans="8:13" x14ac:dyDescent="0.25">
      <c r="H282" s="203"/>
      <c r="I282" s="203"/>
      <c r="J282" s="203"/>
      <c r="K282" s="203"/>
      <c r="L282" s="203"/>
      <c r="M282" s="204"/>
    </row>
    <row r="283" spans="8:13" x14ac:dyDescent="0.25">
      <c r="H283" s="203"/>
      <c r="I283" s="203"/>
      <c r="J283" s="203"/>
      <c r="K283" s="203"/>
      <c r="L283" s="203"/>
      <c r="M283" s="204"/>
    </row>
    <row r="284" spans="8:13" x14ac:dyDescent="0.25">
      <c r="H284" s="203"/>
      <c r="I284" s="203"/>
      <c r="J284" s="203"/>
      <c r="K284" s="203"/>
      <c r="L284" s="203"/>
      <c r="M284" s="204"/>
    </row>
    <row r="285" spans="8:13" x14ac:dyDescent="0.25">
      <c r="H285" s="203"/>
      <c r="I285" s="203"/>
      <c r="J285" s="203"/>
      <c r="K285" s="203"/>
      <c r="L285" s="203"/>
      <c r="M285" s="204"/>
    </row>
    <row r="286" spans="8:13" x14ac:dyDescent="0.25">
      <c r="H286" s="203"/>
      <c r="I286" s="203"/>
      <c r="J286" s="203"/>
      <c r="K286" s="203"/>
      <c r="L286" s="203"/>
      <c r="M286" s="204"/>
    </row>
    <row r="287" spans="8:13" x14ac:dyDescent="0.25">
      <c r="H287" s="203"/>
      <c r="I287" s="203"/>
      <c r="J287" s="203"/>
      <c r="K287" s="203"/>
      <c r="L287" s="203"/>
      <c r="M287" s="204"/>
    </row>
    <row r="288" spans="8:13" x14ac:dyDescent="0.25">
      <c r="H288" s="203"/>
      <c r="I288" s="203"/>
      <c r="J288" s="203"/>
      <c r="K288" s="203"/>
      <c r="L288" s="203"/>
      <c r="M288" s="204"/>
    </row>
    <row r="289" spans="8:13" x14ac:dyDescent="0.25">
      <c r="H289" s="203"/>
      <c r="I289" s="203"/>
      <c r="J289" s="203"/>
      <c r="K289" s="203"/>
      <c r="L289" s="203"/>
      <c r="M289" s="204"/>
    </row>
    <row r="290" spans="8:13" x14ac:dyDescent="0.25">
      <c r="H290" s="203"/>
      <c r="I290" s="203"/>
      <c r="J290" s="203"/>
      <c r="K290" s="203"/>
      <c r="L290" s="203"/>
      <c r="M290" s="204"/>
    </row>
    <row r="291" spans="8:13" x14ac:dyDescent="0.25">
      <c r="H291" s="203"/>
      <c r="I291" s="203"/>
      <c r="J291" s="203"/>
      <c r="K291" s="203"/>
      <c r="L291" s="203"/>
      <c r="M291" s="204"/>
    </row>
    <row r="292" spans="8:13" x14ac:dyDescent="0.25">
      <c r="H292" s="203"/>
      <c r="I292" s="203"/>
      <c r="J292" s="203"/>
      <c r="K292" s="203"/>
      <c r="L292" s="203"/>
      <c r="M292" s="204"/>
    </row>
    <row r="293" spans="8:13" x14ac:dyDescent="0.25">
      <c r="H293" s="203"/>
      <c r="I293" s="203"/>
      <c r="J293" s="203"/>
      <c r="K293" s="203"/>
      <c r="L293" s="203"/>
      <c r="M293" s="204"/>
    </row>
    <row r="294" spans="8:13" x14ac:dyDescent="0.25">
      <c r="H294" s="203"/>
      <c r="I294" s="203"/>
      <c r="J294" s="203"/>
      <c r="K294" s="203"/>
      <c r="L294" s="203"/>
      <c r="M294" s="204"/>
    </row>
    <row r="295" spans="8:13" x14ac:dyDescent="0.25">
      <c r="H295" s="203"/>
      <c r="I295" s="203"/>
      <c r="J295" s="203"/>
      <c r="K295" s="203"/>
      <c r="L295" s="203"/>
      <c r="M295" s="204"/>
    </row>
    <row r="296" spans="8:13" x14ac:dyDescent="0.25">
      <c r="H296" s="203"/>
      <c r="I296" s="203"/>
      <c r="J296" s="203"/>
      <c r="K296" s="203"/>
      <c r="L296" s="203"/>
      <c r="M296" s="204"/>
    </row>
    <row r="297" spans="8:13" x14ac:dyDescent="0.25">
      <c r="H297" s="203"/>
      <c r="I297" s="203"/>
      <c r="J297" s="203"/>
      <c r="K297" s="203"/>
      <c r="L297" s="203"/>
      <c r="M297" s="204"/>
    </row>
    <row r="298" spans="8:13" x14ac:dyDescent="0.25">
      <c r="H298" s="203"/>
      <c r="I298" s="203"/>
      <c r="J298" s="203"/>
      <c r="K298" s="203"/>
      <c r="L298" s="203"/>
      <c r="M298" s="204"/>
    </row>
    <row r="299" spans="8:13" x14ac:dyDescent="0.25">
      <c r="H299" s="203"/>
      <c r="I299" s="203"/>
      <c r="J299" s="203"/>
      <c r="K299" s="203"/>
      <c r="L299" s="203"/>
      <c r="M299" s="204"/>
    </row>
    <row r="300" spans="8:13" x14ac:dyDescent="0.25">
      <c r="H300" s="203"/>
      <c r="I300" s="203"/>
      <c r="J300" s="203"/>
      <c r="K300" s="203"/>
      <c r="L300" s="203"/>
      <c r="M300" s="204"/>
    </row>
    <row r="301" spans="8:13" x14ac:dyDescent="0.25">
      <c r="H301" s="203"/>
      <c r="I301" s="203"/>
      <c r="J301" s="203"/>
      <c r="K301" s="203"/>
      <c r="L301" s="203"/>
      <c r="M301" s="204"/>
    </row>
    <row r="302" spans="8:13" x14ac:dyDescent="0.25">
      <c r="H302" s="203"/>
      <c r="I302" s="203"/>
      <c r="J302" s="203"/>
      <c r="K302" s="203"/>
      <c r="L302" s="203"/>
      <c r="M302" s="204"/>
    </row>
    <row r="303" spans="8:13" x14ac:dyDescent="0.25">
      <c r="H303" s="203"/>
      <c r="I303" s="203"/>
      <c r="J303" s="203"/>
      <c r="K303" s="203"/>
      <c r="L303" s="203"/>
      <c r="M303" s="204"/>
    </row>
    <row r="304" spans="8:13" x14ac:dyDescent="0.25">
      <c r="H304" s="203"/>
      <c r="I304" s="203"/>
      <c r="J304" s="203"/>
      <c r="K304" s="203"/>
      <c r="L304" s="203"/>
      <c r="M304" s="204"/>
    </row>
    <row r="305" spans="8:13" x14ac:dyDescent="0.25">
      <c r="H305" s="203"/>
      <c r="I305" s="203"/>
      <c r="J305" s="203"/>
      <c r="K305" s="203"/>
      <c r="L305" s="203"/>
      <c r="M305" s="204"/>
    </row>
    <row r="306" spans="8:13" x14ac:dyDescent="0.25">
      <c r="H306" s="203"/>
      <c r="I306" s="203"/>
      <c r="J306" s="203"/>
      <c r="K306" s="203"/>
      <c r="L306" s="203"/>
      <c r="M306" s="204"/>
    </row>
    <row r="307" spans="8:13" x14ac:dyDescent="0.25">
      <c r="H307" s="203"/>
      <c r="I307" s="203"/>
      <c r="J307" s="203"/>
      <c r="K307" s="203"/>
      <c r="L307" s="203"/>
      <c r="M307" s="204"/>
    </row>
    <row r="308" spans="8:13" x14ac:dyDescent="0.25">
      <c r="H308" s="203"/>
      <c r="I308" s="203"/>
      <c r="J308" s="203"/>
      <c r="K308" s="203"/>
      <c r="L308" s="203"/>
      <c r="M308" s="204"/>
    </row>
    <row r="309" spans="8:13" x14ac:dyDescent="0.25">
      <c r="H309" s="203"/>
      <c r="I309" s="203"/>
      <c r="J309" s="203"/>
      <c r="K309" s="203"/>
      <c r="L309" s="203"/>
      <c r="M309" s="204"/>
    </row>
    <row r="310" spans="8:13" x14ac:dyDescent="0.25">
      <c r="H310" s="203"/>
      <c r="I310" s="203"/>
      <c r="J310" s="203"/>
      <c r="K310" s="203"/>
      <c r="L310" s="203"/>
      <c r="M310" s="204"/>
    </row>
    <row r="311" spans="8:13" x14ac:dyDescent="0.25">
      <c r="H311" s="203"/>
      <c r="I311" s="203"/>
      <c r="J311" s="203"/>
      <c r="K311" s="203"/>
      <c r="L311" s="203"/>
      <c r="M311" s="204"/>
    </row>
    <row r="312" spans="8:13" x14ac:dyDescent="0.25">
      <c r="H312" s="203"/>
      <c r="I312" s="203"/>
      <c r="J312" s="203"/>
      <c r="K312" s="203"/>
      <c r="L312" s="203"/>
      <c r="M312" s="204"/>
    </row>
    <row r="313" spans="8:13" x14ac:dyDescent="0.25">
      <c r="H313" s="203"/>
      <c r="I313" s="203"/>
      <c r="J313" s="203"/>
      <c r="K313" s="203"/>
      <c r="L313" s="203"/>
      <c r="M313" s="204"/>
    </row>
    <row r="314" spans="8:13" x14ac:dyDescent="0.25">
      <c r="H314" s="203"/>
      <c r="I314" s="203"/>
      <c r="J314" s="203"/>
      <c r="K314" s="203"/>
      <c r="L314" s="203"/>
      <c r="M314" s="204"/>
    </row>
    <row r="315" spans="8:13" x14ac:dyDescent="0.25">
      <c r="H315" s="203"/>
      <c r="I315" s="203"/>
      <c r="J315" s="203"/>
      <c r="K315" s="203"/>
      <c r="L315" s="203"/>
      <c r="M315" s="204"/>
    </row>
    <row r="316" spans="8:13" x14ac:dyDescent="0.25">
      <c r="H316" s="203"/>
      <c r="I316" s="203"/>
      <c r="J316" s="203"/>
      <c r="K316" s="203"/>
      <c r="L316" s="203"/>
      <c r="M316" s="204"/>
    </row>
    <row r="317" spans="8:13" x14ac:dyDescent="0.25">
      <c r="H317" s="203"/>
      <c r="I317" s="203"/>
      <c r="J317" s="203"/>
      <c r="K317" s="203"/>
      <c r="L317" s="203"/>
      <c r="M317" s="204"/>
    </row>
    <row r="318" spans="8:13" x14ac:dyDescent="0.25">
      <c r="H318" s="203"/>
      <c r="I318" s="203"/>
      <c r="J318" s="203"/>
      <c r="K318" s="203"/>
      <c r="L318" s="203"/>
      <c r="M318" s="204"/>
    </row>
    <row r="319" spans="8:13" x14ac:dyDescent="0.25">
      <c r="H319" s="203"/>
      <c r="I319" s="203"/>
      <c r="J319" s="203"/>
      <c r="K319" s="203"/>
      <c r="L319" s="203"/>
      <c r="M319" s="204"/>
    </row>
    <row r="320" spans="8:13" x14ac:dyDescent="0.25">
      <c r="H320" s="203"/>
      <c r="I320" s="203"/>
      <c r="J320" s="203"/>
      <c r="K320" s="203"/>
      <c r="L320" s="203"/>
      <c r="M320" s="204"/>
    </row>
    <row r="321" spans="8:13" x14ac:dyDescent="0.25">
      <c r="H321" s="203"/>
      <c r="I321" s="203"/>
      <c r="J321" s="203"/>
      <c r="K321" s="203"/>
      <c r="L321" s="203"/>
      <c r="M321" s="204"/>
    </row>
    <row r="322" spans="8:13" x14ac:dyDescent="0.25">
      <c r="H322" s="203"/>
      <c r="I322" s="203"/>
      <c r="J322" s="203"/>
      <c r="K322" s="203"/>
      <c r="L322" s="203"/>
      <c r="M322" s="204"/>
    </row>
    <row r="323" spans="8:13" x14ac:dyDescent="0.25">
      <c r="H323" s="203"/>
      <c r="I323" s="203"/>
      <c r="J323" s="203"/>
      <c r="K323" s="203"/>
      <c r="L323" s="203"/>
      <c r="M323" s="204"/>
    </row>
    <row r="324" spans="8:13" x14ac:dyDescent="0.25">
      <c r="H324" s="203"/>
      <c r="I324" s="203"/>
      <c r="J324" s="203"/>
      <c r="K324" s="203"/>
      <c r="L324" s="203"/>
      <c r="M324" s="204"/>
    </row>
    <row r="325" spans="8:13" x14ac:dyDescent="0.25">
      <c r="H325" s="203"/>
      <c r="I325" s="203"/>
      <c r="J325" s="203"/>
      <c r="K325" s="203"/>
      <c r="L325" s="203"/>
      <c r="M325" s="204"/>
    </row>
    <row r="326" spans="8:13" x14ac:dyDescent="0.25">
      <c r="H326" s="203"/>
      <c r="I326" s="203"/>
      <c r="J326" s="203"/>
      <c r="K326" s="203"/>
      <c r="L326" s="203"/>
      <c r="M326" s="204"/>
    </row>
    <row r="327" spans="8:13" x14ac:dyDescent="0.25">
      <c r="H327" s="203"/>
      <c r="I327" s="203"/>
      <c r="J327" s="203"/>
      <c r="K327" s="203"/>
      <c r="L327" s="203"/>
      <c r="M327" s="204"/>
    </row>
    <row r="328" spans="8:13" x14ac:dyDescent="0.25">
      <c r="H328" s="203"/>
      <c r="I328" s="203"/>
      <c r="J328" s="203"/>
      <c r="K328" s="203"/>
      <c r="L328" s="203"/>
      <c r="M328" s="204"/>
    </row>
    <row r="329" spans="8:13" x14ac:dyDescent="0.25">
      <c r="H329" s="203"/>
      <c r="I329" s="203"/>
      <c r="J329" s="203"/>
      <c r="K329" s="203"/>
      <c r="L329" s="203"/>
      <c r="M329" s="204"/>
    </row>
    <row r="330" spans="8:13" x14ac:dyDescent="0.25">
      <c r="H330" s="203"/>
      <c r="I330" s="203"/>
      <c r="J330" s="203"/>
      <c r="K330" s="203"/>
      <c r="L330" s="203"/>
      <c r="M330" s="204"/>
    </row>
    <row r="331" spans="8:13" x14ac:dyDescent="0.25">
      <c r="H331" s="203"/>
      <c r="I331" s="203"/>
      <c r="J331" s="203"/>
      <c r="K331" s="203"/>
      <c r="L331" s="203"/>
      <c r="M331" s="204"/>
    </row>
    <row r="332" spans="8:13" x14ac:dyDescent="0.25">
      <c r="H332" s="203"/>
      <c r="I332" s="203"/>
      <c r="J332" s="203"/>
      <c r="K332" s="203"/>
      <c r="L332" s="203"/>
      <c r="M332" s="204"/>
    </row>
    <row r="333" spans="8:13" x14ac:dyDescent="0.25">
      <c r="H333" s="203"/>
      <c r="I333" s="203"/>
      <c r="J333" s="203"/>
      <c r="K333" s="203"/>
      <c r="L333" s="203"/>
      <c r="M333" s="204"/>
    </row>
    <row r="334" spans="8:13" x14ac:dyDescent="0.25">
      <c r="H334" s="203"/>
      <c r="I334" s="203"/>
      <c r="J334" s="203"/>
      <c r="K334" s="203"/>
      <c r="L334" s="203"/>
      <c r="M334" s="204"/>
    </row>
    <row r="335" spans="8:13" x14ac:dyDescent="0.25">
      <c r="H335" s="203"/>
      <c r="I335" s="203"/>
      <c r="J335" s="203"/>
      <c r="K335" s="203"/>
      <c r="L335" s="203"/>
      <c r="M335" s="204"/>
    </row>
    <row r="336" spans="8:13" x14ac:dyDescent="0.25">
      <c r="H336" s="203"/>
      <c r="I336" s="203"/>
      <c r="J336" s="203"/>
      <c r="K336" s="203"/>
      <c r="L336" s="203"/>
      <c r="M336" s="204"/>
    </row>
    <row r="337" spans="8:13" x14ac:dyDescent="0.25">
      <c r="H337" s="203"/>
      <c r="I337" s="203"/>
      <c r="J337" s="203"/>
      <c r="K337" s="203"/>
      <c r="L337" s="203"/>
      <c r="M337" s="204"/>
    </row>
    <row r="338" spans="8:13" x14ac:dyDescent="0.25">
      <c r="H338" s="203"/>
      <c r="I338" s="203"/>
      <c r="J338" s="203"/>
      <c r="K338" s="203"/>
      <c r="L338" s="203"/>
      <c r="M338" s="204"/>
    </row>
    <row r="339" spans="8:13" x14ac:dyDescent="0.25">
      <c r="H339" s="203"/>
      <c r="I339" s="203"/>
      <c r="J339" s="203"/>
      <c r="K339" s="203"/>
      <c r="L339" s="203"/>
      <c r="M339" s="204"/>
    </row>
    <row r="340" spans="8:13" x14ac:dyDescent="0.25">
      <c r="H340" s="203"/>
      <c r="I340" s="203"/>
      <c r="J340" s="203"/>
      <c r="K340" s="203"/>
      <c r="L340" s="203"/>
      <c r="M340" s="204"/>
    </row>
    <row r="341" spans="8:13" x14ac:dyDescent="0.25">
      <c r="H341" s="203"/>
      <c r="I341" s="203"/>
      <c r="J341" s="203"/>
      <c r="K341" s="203"/>
      <c r="L341" s="203"/>
      <c r="M341" s="204"/>
    </row>
    <row r="342" spans="8:13" x14ac:dyDescent="0.25">
      <c r="H342" s="203"/>
      <c r="I342" s="203"/>
      <c r="J342" s="203"/>
      <c r="K342" s="203"/>
      <c r="L342" s="203"/>
      <c r="M342" s="204"/>
    </row>
    <row r="343" spans="8:13" x14ac:dyDescent="0.25">
      <c r="H343" s="203"/>
      <c r="I343" s="203"/>
      <c r="J343" s="203"/>
      <c r="K343" s="203"/>
      <c r="L343" s="203"/>
      <c r="M343" s="204"/>
    </row>
    <row r="344" spans="8:13" x14ac:dyDescent="0.25">
      <c r="H344" s="203"/>
      <c r="I344" s="203"/>
      <c r="J344" s="203"/>
      <c r="K344" s="203"/>
      <c r="L344" s="203"/>
      <c r="M344" s="204"/>
    </row>
    <row r="345" spans="8:13" x14ac:dyDescent="0.25">
      <c r="H345" s="203"/>
      <c r="I345" s="203"/>
      <c r="J345" s="203"/>
      <c r="K345" s="203"/>
      <c r="L345" s="203"/>
      <c r="M345" s="204"/>
    </row>
    <row r="346" spans="8:13" x14ac:dyDescent="0.25">
      <c r="H346" s="203"/>
      <c r="I346" s="203"/>
      <c r="J346" s="203"/>
      <c r="K346" s="203"/>
      <c r="L346" s="203"/>
      <c r="M346" s="204"/>
    </row>
    <row r="347" spans="8:13" x14ac:dyDescent="0.25">
      <c r="H347" s="203"/>
      <c r="I347" s="203"/>
      <c r="J347" s="203"/>
      <c r="K347" s="203"/>
      <c r="L347" s="203"/>
      <c r="M347" s="204"/>
    </row>
    <row r="348" spans="8:13" x14ac:dyDescent="0.25">
      <c r="H348" s="203"/>
      <c r="I348" s="203"/>
      <c r="J348" s="203"/>
      <c r="K348" s="203"/>
      <c r="L348" s="203"/>
      <c r="M348" s="204"/>
    </row>
    <row r="349" spans="8:13" x14ac:dyDescent="0.25">
      <c r="H349" s="203"/>
      <c r="I349" s="203"/>
      <c r="J349" s="203"/>
      <c r="K349" s="203"/>
      <c r="L349" s="203"/>
      <c r="M349" s="204"/>
    </row>
    <row r="350" spans="8:13" x14ac:dyDescent="0.25">
      <c r="H350" s="203"/>
      <c r="I350" s="203"/>
      <c r="J350" s="203"/>
      <c r="K350" s="203"/>
      <c r="L350" s="203"/>
      <c r="M350" s="204"/>
    </row>
    <row r="351" spans="8:13" x14ac:dyDescent="0.25">
      <c r="H351" s="203"/>
      <c r="I351" s="203"/>
      <c r="J351" s="203"/>
      <c r="K351" s="203"/>
      <c r="L351" s="203"/>
      <c r="M351" s="204"/>
    </row>
    <row r="352" spans="8:13" x14ac:dyDescent="0.25">
      <c r="H352" s="203"/>
      <c r="I352" s="203"/>
      <c r="J352" s="203"/>
      <c r="K352" s="203"/>
      <c r="L352" s="203"/>
      <c r="M352" s="204"/>
    </row>
    <row r="353" spans="8:13" x14ac:dyDescent="0.25">
      <c r="H353" s="203"/>
      <c r="I353" s="203"/>
      <c r="J353" s="203"/>
      <c r="K353" s="203"/>
      <c r="L353" s="203"/>
      <c r="M353" s="204"/>
    </row>
    <row r="354" spans="8:13" x14ac:dyDescent="0.25">
      <c r="H354" s="203"/>
      <c r="I354" s="203"/>
      <c r="J354" s="203"/>
      <c r="K354" s="203"/>
      <c r="L354" s="203"/>
      <c r="M354" s="204"/>
    </row>
    <row r="355" spans="8:13" x14ac:dyDescent="0.25">
      <c r="H355" s="203"/>
      <c r="I355" s="203"/>
      <c r="J355" s="203"/>
      <c r="K355" s="203"/>
      <c r="L355" s="203"/>
      <c r="M355" s="204"/>
    </row>
    <row r="356" spans="8:13" x14ac:dyDescent="0.25">
      <c r="H356" s="203"/>
      <c r="I356" s="203"/>
      <c r="J356" s="203"/>
      <c r="K356" s="203"/>
      <c r="L356" s="203"/>
      <c r="M356" s="204"/>
    </row>
    <row r="357" spans="8:13" x14ac:dyDescent="0.25">
      <c r="H357" s="203"/>
      <c r="I357" s="203"/>
      <c r="J357" s="203"/>
      <c r="K357" s="203"/>
      <c r="L357" s="203"/>
      <c r="M357" s="204"/>
    </row>
    <row r="358" spans="8:13" x14ac:dyDescent="0.25">
      <c r="H358" s="203"/>
      <c r="I358" s="203"/>
      <c r="J358" s="203"/>
      <c r="K358" s="203"/>
      <c r="L358" s="203"/>
      <c r="M358" s="204"/>
    </row>
    <row r="359" spans="8:13" x14ac:dyDescent="0.25">
      <c r="H359" s="203"/>
      <c r="I359" s="203"/>
      <c r="J359" s="203"/>
      <c r="K359" s="203"/>
      <c r="L359" s="203"/>
      <c r="M359" s="204"/>
    </row>
    <row r="360" spans="8:13" x14ac:dyDescent="0.25">
      <c r="H360" s="203"/>
      <c r="I360" s="203"/>
      <c r="J360" s="203"/>
      <c r="K360" s="203"/>
      <c r="L360" s="203"/>
      <c r="M360" s="204"/>
    </row>
    <row r="361" spans="8:13" x14ac:dyDescent="0.25">
      <c r="H361" s="203"/>
      <c r="I361" s="203"/>
      <c r="J361" s="203"/>
      <c r="K361" s="203"/>
      <c r="L361" s="203"/>
      <c r="M361" s="204"/>
    </row>
    <row r="362" spans="8:13" x14ac:dyDescent="0.25">
      <c r="H362" s="203"/>
      <c r="I362" s="203"/>
      <c r="J362" s="203"/>
      <c r="K362" s="203"/>
      <c r="L362" s="203"/>
      <c r="M362" s="204"/>
    </row>
    <row r="363" spans="8:13" x14ac:dyDescent="0.25">
      <c r="H363" s="203"/>
      <c r="I363" s="203"/>
      <c r="J363" s="203"/>
      <c r="K363" s="203"/>
      <c r="L363" s="203"/>
      <c r="M363" s="204"/>
    </row>
    <row r="364" spans="8:13" x14ac:dyDescent="0.25">
      <c r="H364" s="203"/>
      <c r="I364" s="203"/>
      <c r="J364" s="203"/>
      <c r="K364" s="203"/>
      <c r="L364" s="203"/>
      <c r="M364" s="204"/>
    </row>
    <row r="365" spans="8:13" x14ac:dyDescent="0.25">
      <c r="H365" s="203"/>
      <c r="I365" s="203"/>
      <c r="J365" s="203"/>
      <c r="K365" s="203"/>
      <c r="L365" s="203"/>
      <c r="M365" s="204"/>
    </row>
    <row r="366" spans="8:13" x14ac:dyDescent="0.25">
      <c r="H366" s="203"/>
      <c r="I366" s="203"/>
      <c r="J366" s="203"/>
      <c r="K366" s="203"/>
      <c r="L366" s="203"/>
      <c r="M366" s="204"/>
    </row>
    <row r="367" spans="8:13" x14ac:dyDescent="0.25">
      <c r="H367" s="203"/>
      <c r="I367" s="203"/>
      <c r="J367" s="203"/>
      <c r="K367" s="203"/>
      <c r="L367" s="203"/>
      <c r="M367" s="204"/>
    </row>
    <row r="368" spans="8:13" x14ac:dyDescent="0.25">
      <c r="H368" s="203"/>
      <c r="I368" s="203"/>
      <c r="J368" s="203"/>
      <c r="K368" s="203"/>
      <c r="L368" s="203"/>
      <c r="M368" s="204"/>
    </row>
    <row r="369" spans="8:13" x14ac:dyDescent="0.25">
      <c r="H369" s="203"/>
      <c r="I369" s="203"/>
      <c r="J369" s="203"/>
      <c r="K369" s="203"/>
      <c r="L369" s="203"/>
      <c r="M369" s="204"/>
    </row>
    <row r="370" spans="8:13" x14ac:dyDescent="0.25">
      <c r="H370" s="203"/>
      <c r="I370" s="203"/>
      <c r="J370" s="203"/>
      <c r="K370" s="203"/>
      <c r="L370" s="203"/>
      <c r="M370" s="204"/>
    </row>
    <row r="371" spans="8:13" x14ac:dyDescent="0.25">
      <c r="H371" s="203"/>
      <c r="I371" s="203"/>
      <c r="J371" s="203"/>
      <c r="K371" s="203"/>
      <c r="L371" s="203"/>
      <c r="M371" s="204"/>
    </row>
    <row r="372" spans="8:13" x14ac:dyDescent="0.25">
      <c r="H372" s="203"/>
      <c r="I372" s="203"/>
      <c r="J372" s="203"/>
      <c r="K372" s="203"/>
      <c r="L372" s="203"/>
      <c r="M372" s="204"/>
    </row>
    <row r="373" spans="8:13" x14ac:dyDescent="0.25">
      <c r="H373" s="203"/>
      <c r="I373" s="203"/>
      <c r="J373" s="203"/>
      <c r="K373" s="203"/>
      <c r="L373" s="203"/>
      <c r="M373" s="204"/>
    </row>
    <row r="374" spans="8:13" x14ac:dyDescent="0.25">
      <c r="H374" s="203"/>
      <c r="I374" s="203"/>
      <c r="J374" s="203"/>
      <c r="K374" s="203"/>
      <c r="L374" s="203"/>
      <c r="M374" s="204"/>
    </row>
    <row r="375" spans="8:13" x14ac:dyDescent="0.25">
      <c r="H375" s="203"/>
      <c r="I375" s="203"/>
      <c r="J375" s="203"/>
      <c r="K375" s="203"/>
      <c r="L375" s="203"/>
      <c r="M375" s="204"/>
    </row>
    <row r="376" spans="8:13" x14ac:dyDescent="0.25">
      <c r="H376" s="203"/>
      <c r="I376" s="203"/>
      <c r="J376" s="203"/>
      <c r="K376" s="203"/>
      <c r="L376" s="203"/>
      <c r="M376" s="204"/>
    </row>
    <row r="377" spans="8:13" x14ac:dyDescent="0.25">
      <c r="H377" s="203"/>
      <c r="I377" s="203"/>
      <c r="J377" s="203"/>
      <c r="K377" s="203"/>
      <c r="L377" s="203"/>
      <c r="M377" s="204"/>
    </row>
    <row r="378" spans="8:13" x14ac:dyDescent="0.25">
      <c r="H378" s="203"/>
      <c r="I378" s="203"/>
      <c r="J378" s="203"/>
      <c r="K378" s="203"/>
      <c r="L378" s="203"/>
      <c r="M378" s="204"/>
    </row>
    <row r="379" spans="8:13" x14ac:dyDescent="0.25">
      <c r="H379" s="203"/>
      <c r="I379" s="203"/>
      <c r="J379" s="203"/>
      <c r="K379" s="203"/>
      <c r="L379" s="203"/>
      <c r="M379" s="204"/>
    </row>
    <row r="380" spans="8:13" x14ac:dyDescent="0.25">
      <c r="H380" s="203"/>
      <c r="I380" s="203"/>
      <c r="J380" s="203"/>
      <c r="K380" s="203"/>
      <c r="L380" s="203"/>
      <c r="M380" s="204"/>
    </row>
    <row r="381" spans="8:13" x14ac:dyDescent="0.25">
      <c r="H381" s="203"/>
      <c r="I381" s="203"/>
      <c r="J381" s="203"/>
      <c r="K381" s="203"/>
      <c r="L381" s="203"/>
      <c r="M381" s="204"/>
    </row>
    <row r="382" spans="8:13" x14ac:dyDescent="0.25">
      <c r="H382" s="203"/>
      <c r="I382" s="203"/>
      <c r="J382" s="203"/>
      <c r="K382" s="203"/>
      <c r="L382" s="203"/>
      <c r="M382" s="204"/>
    </row>
    <row r="383" spans="8:13" x14ac:dyDescent="0.25">
      <c r="H383" s="203"/>
      <c r="I383" s="203"/>
      <c r="J383" s="203"/>
      <c r="K383" s="203"/>
      <c r="L383" s="203"/>
      <c r="M383" s="204"/>
    </row>
    <row r="384" spans="8:13" x14ac:dyDescent="0.25">
      <c r="H384" s="203"/>
      <c r="I384" s="203"/>
      <c r="J384" s="203"/>
      <c r="K384" s="203"/>
      <c r="L384" s="203"/>
      <c r="M384" s="204"/>
    </row>
    <row r="385" spans="8:13" x14ac:dyDescent="0.25">
      <c r="H385" s="203"/>
      <c r="I385" s="203"/>
      <c r="J385" s="203"/>
      <c r="K385" s="203"/>
      <c r="L385" s="203"/>
      <c r="M385" s="204"/>
    </row>
    <row r="386" spans="8:13" x14ac:dyDescent="0.25">
      <c r="H386" s="203"/>
      <c r="I386" s="203"/>
      <c r="J386" s="203"/>
      <c r="K386" s="203"/>
      <c r="L386" s="203"/>
      <c r="M386" s="204"/>
    </row>
    <row r="387" spans="8:13" x14ac:dyDescent="0.25">
      <c r="H387" s="203"/>
      <c r="I387" s="203"/>
      <c r="J387" s="203"/>
      <c r="K387" s="203"/>
      <c r="L387" s="203"/>
      <c r="M387" s="204"/>
    </row>
    <row r="388" spans="8:13" x14ac:dyDescent="0.25">
      <c r="H388" s="203"/>
      <c r="I388" s="203"/>
      <c r="J388" s="203"/>
      <c r="K388" s="203"/>
      <c r="L388" s="203"/>
      <c r="M388" s="204"/>
    </row>
    <row r="389" spans="8:13" x14ac:dyDescent="0.25">
      <c r="H389" s="203"/>
      <c r="I389" s="203"/>
      <c r="J389" s="203"/>
      <c r="K389" s="203"/>
      <c r="L389" s="203"/>
      <c r="M389" s="204"/>
    </row>
    <row r="390" spans="8:13" x14ac:dyDescent="0.25">
      <c r="H390" s="203"/>
      <c r="I390" s="203"/>
      <c r="J390" s="203"/>
      <c r="K390" s="203"/>
      <c r="L390" s="203"/>
      <c r="M390" s="204"/>
    </row>
    <row r="391" spans="8:13" x14ac:dyDescent="0.25">
      <c r="H391" s="203"/>
      <c r="I391" s="203"/>
      <c r="J391" s="203"/>
      <c r="K391" s="203"/>
      <c r="L391" s="203"/>
      <c r="M391" s="204"/>
    </row>
    <row r="392" spans="8:13" x14ac:dyDescent="0.25">
      <c r="H392" s="203"/>
      <c r="I392" s="203"/>
      <c r="J392" s="203"/>
      <c r="K392" s="203"/>
      <c r="L392" s="203"/>
      <c r="M392" s="204"/>
    </row>
    <row r="393" spans="8:13" x14ac:dyDescent="0.25">
      <c r="H393" s="203"/>
      <c r="I393" s="203"/>
      <c r="J393" s="203"/>
      <c r="K393" s="203"/>
      <c r="L393" s="203"/>
      <c r="M393" s="204"/>
    </row>
    <row r="394" spans="8:13" x14ac:dyDescent="0.25">
      <c r="H394" s="203"/>
      <c r="I394" s="203"/>
      <c r="J394" s="203"/>
      <c r="K394" s="203"/>
      <c r="L394" s="203"/>
      <c r="M394" s="204"/>
    </row>
    <row r="395" spans="8:13" x14ac:dyDescent="0.25">
      <c r="H395" s="203"/>
      <c r="I395" s="203"/>
      <c r="J395" s="203"/>
      <c r="K395" s="203"/>
      <c r="L395" s="203"/>
      <c r="M395" s="204"/>
    </row>
    <row r="396" spans="8:13" x14ac:dyDescent="0.25">
      <c r="H396" s="203"/>
      <c r="I396" s="203"/>
      <c r="J396" s="203"/>
      <c r="K396" s="203"/>
      <c r="L396" s="203"/>
      <c r="M396" s="204"/>
    </row>
    <row r="397" spans="8:13" x14ac:dyDescent="0.25">
      <c r="H397" s="203"/>
      <c r="I397" s="203"/>
      <c r="J397" s="203"/>
      <c r="K397" s="203"/>
      <c r="L397" s="203"/>
      <c r="M397" s="204"/>
    </row>
    <row r="398" spans="8:13" x14ac:dyDescent="0.25">
      <c r="H398" s="203"/>
      <c r="I398" s="203"/>
      <c r="J398" s="203"/>
      <c r="K398" s="203"/>
      <c r="L398" s="203"/>
      <c r="M398" s="204"/>
    </row>
    <row r="399" spans="8:13" x14ac:dyDescent="0.25">
      <c r="H399" s="203"/>
      <c r="I399" s="203"/>
      <c r="J399" s="203"/>
      <c r="K399" s="203"/>
      <c r="L399" s="203"/>
      <c r="M399" s="204"/>
    </row>
    <row r="400" spans="8:13" x14ac:dyDescent="0.25">
      <c r="H400" s="203"/>
      <c r="I400" s="203"/>
      <c r="J400" s="203"/>
      <c r="K400" s="203"/>
      <c r="L400" s="203"/>
      <c r="M400" s="204"/>
    </row>
    <row r="401" spans="8:13" x14ac:dyDescent="0.25">
      <c r="H401" s="203"/>
      <c r="I401" s="203"/>
      <c r="J401" s="203"/>
      <c r="K401" s="203"/>
      <c r="L401" s="203"/>
      <c r="M401" s="204"/>
    </row>
    <row r="402" spans="8:13" x14ac:dyDescent="0.25">
      <c r="H402" s="203"/>
      <c r="I402" s="203"/>
      <c r="J402" s="203"/>
      <c r="K402" s="203"/>
      <c r="L402" s="203"/>
      <c r="M402" s="204"/>
    </row>
    <row r="403" spans="8:13" x14ac:dyDescent="0.25">
      <c r="H403" s="203"/>
      <c r="I403" s="203"/>
      <c r="J403" s="203"/>
      <c r="K403" s="203"/>
      <c r="L403" s="203"/>
      <c r="M403" s="204"/>
    </row>
    <row r="404" spans="8:13" x14ac:dyDescent="0.25">
      <c r="H404" s="203"/>
      <c r="I404" s="203"/>
      <c r="J404" s="203"/>
      <c r="K404" s="203"/>
      <c r="L404" s="203"/>
      <c r="M404" s="204"/>
    </row>
    <row r="405" spans="8:13" x14ac:dyDescent="0.25">
      <c r="H405" s="203"/>
      <c r="I405" s="203"/>
      <c r="J405" s="203"/>
      <c r="K405" s="203"/>
      <c r="L405" s="203"/>
      <c r="M405" s="204"/>
    </row>
    <row r="406" spans="8:13" x14ac:dyDescent="0.25">
      <c r="H406" s="203"/>
      <c r="I406" s="203"/>
      <c r="J406" s="203"/>
      <c r="K406" s="203"/>
      <c r="L406" s="203"/>
      <c r="M406" s="204"/>
    </row>
    <row r="407" spans="8:13" x14ac:dyDescent="0.25">
      <c r="H407" s="203"/>
      <c r="I407" s="203"/>
      <c r="J407" s="203"/>
      <c r="K407" s="203"/>
      <c r="L407" s="203"/>
      <c r="M407" s="204"/>
    </row>
    <row r="408" spans="8:13" x14ac:dyDescent="0.25">
      <c r="H408" s="203"/>
      <c r="I408" s="203"/>
      <c r="J408" s="203"/>
      <c r="K408" s="203"/>
      <c r="L408" s="203"/>
      <c r="M408" s="204"/>
    </row>
    <row r="409" spans="8:13" x14ac:dyDescent="0.25">
      <c r="H409" s="203"/>
      <c r="I409" s="203"/>
      <c r="J409" s="203"/>
      <c r="K409" s="203"/>
      <c r="L409" s="203"/>
      <c r="M409" s="204"/>
    </row>
    <row r="410" spans="8:13" x14ac:dyDescent="0.25">
      <c r="H410" s="203"/>
      <c r="I410" s="203"/>
      <c r="J410" s="203"/>
      <c r="K410" s="203"/>
      <c r="L410" s="203"/>
      <c r="M410" s="204"/>
    </row>
    <row r="411" spans="8:13" x14ac:dyDescent="0.25">
      <c r="H411" s="203"/>
      <c r="I411" s="203"/>
      <c r="J411" s="203"/>
      <c r="K411" s="203"/>
      <c r="L411" s="203"/>
      <c r="M411" s="204"/>
    </row>
    <row r="412" spans="8:13" x14ac:dyDescent="0.25">
      <c r="H412" s="203"/>
      <c r="I412" s="203"/>
      <c r="J412" s="203"/>
      <c r="K412" s="203"/>
      <c r="L412" s="203"/>
      <c r="M412" s="204"/>
    </row>
    <row r="413" spans="8:13" x14ac:dyDescent="0.25">
      <c r="H413" s="203"/>
      <c r="I413" s="203"/>
      <c r="J413" s="203"/>
      <c r="K413" s="203"/>
      <c r="L413" s="203"/>
      <c r="M413" s="204"/>
    </row>
    <row r="414" spans="8:13" x14ac:dyDescent="0.25">
      <c r="H414" s="203"/>
      <c r="I414" s="203"/>
      <c r="J414" s="203"/>
      <c r="K414" s="203"/>
      <c r="L414" s="203"/>
      <c r="M414" s="204"/>
    </row>
    <row r="415" spans="8:13" x14ac:dyDescent="0.25">
      <c r="H415" s="203"/>
      <c r="I415" s="203"/>
      <c r="J415" s="203"/>
      <c r="K415" s="203"/>
      <c r="L415" s="203"/>
      <c r="M415" s="204"/>
    </row>
    <row r="416" spans="8:13" x14ac:dyDescent="0.25">
      <c r="H416" s="203"/>
      <c r="I416" s="203"/>
      <c r="J416" s="203"/>
      <c r="K416" s="203"/>
      <c r="L416" s="203"/>
      <c r="M416" s="204"/>
    </row>
    <row r="417" spans="8:13" x14ac:dyDescent="0.25">
      <c r="H417" s="203"/>
      <c r="I417" s="203"/>
      <c r="J417" s="203"/>
      <c r="K417" s="203"/>
      <c r="L417" s="203"/>
      <c r="M417" s="204"/>
    </row>
    <row r="418" spans="8:13" x14ac:dyDescent="0.25">
      <c r="H418" s="203"/>
      <c r="I418" s="203"/>
      <c r="J418" s="203"/>
      <c r="K418" s="203"/>
      <c r="L418" s="203"/>
      <c r="M418" s="204"/>
    </row>
    <row r="419" spans="8:13" x14ac:dyDescent="0.25">
      <c r="H419" s="203"/>
      <c r="I419" s="203"/>
      <c r="J419" s="203"/>
      <c r="K419" s="203"/>
      <c r="L419" s="203"/>
      <c r="M419" s="204"/>
    </row>
    <row r="420" spans="8:13" x14ac:dyDescent="0.25">
      <c r="H420" s="203"/>
      <c r="I420" s="203"/>
      <c r="J420" s="203"/>
      <c r="K420" s="203"/>
      <c r="L420" s="203"/>
      <c r="M420" s="204"/>
    </row>
    <row r="421" spans="8:13" x14ac:dyDescent="0.25">
      <c r="H421" s="203"/>
      <c r="I421" s="203"/>
      <c r="J421" s="203"/>
      <c r="K421" s="203"/>
      <c r="L421" s="203"/>
      <c r="M421" s="204"/>
    </row>
    <row r="422" spans="8:13" x14ac:dyDescent="0.25">
      <c r="H422" s="203"/>
      <c r="I422" s="203"/>
      <c r="J422" s="203"/>
      <c r="K422" s="203"/>
      <c r="L422" s="203"/>
      <c r="M422" s="204"/>
    </row>
    <row r="423" spans="8:13" x14ac:dyDescent="0.25">
      <c r="H423" s="203"/>
      <c r="I423" s="203"/>
      <c r="J423" s="203"/>
      <c r="K423" s="203"/>
      <c r="L423" s="203"/>
      <c r="M423" s="204"/>
    </row>
    <row r="424" spans="8:13" x14ac:dyDescent="0.25">
      <c r="H424" s="203"/>
      <c r="I424" s="203"/>
      <c r="J424" s="203"/>
      <c r="K424" s="203"/>
      <c r="L424" s="203"/>
      <c r="M424" s="204"/>
    </row>
    <row r="425" spans="8:13" x14ac:dyDescent="0.25">
      <c r="H425" s="203"/>
      <c r="I425" s="203"/>
      <c r="J425" s="203"/>
      <c r="K425" s="203"/>
      <c r="L425" s="203"/>
      <c r="M425" s="204"/>
    </row>
    <row r="426" spans="8:13" x14ac:dyDescent="0.25">
      <c r="H426" s="203"/>
      <c r="I426" s="203"/>
      <c r="J426" s="203"/>
      <c r="K426" s="203"/>
      <c r="L426" s="203"/>
      <c r="M426" s="204"/>
    </row>
    <row r="427" spans="8:13" x14ac:dyDescent="0.25">
      <c r="H427" s="203"/>
      <c r="I427" s="203"/>
      <c r="J427" s="203"/>
      <c r="K427" s="203"/>
      <c r="L427" s="203"/>
      <c r="M427" s="204"/>
    </row>
    <row r="428" spans="8:13" x14ac:dyDescent="0.25">
      <c r="H428" s="203"/>
      <c r="I428" s="203"/>
      <c r="J428" s="203"/>
      <c r="K428" s="203"/>
      <c r="L428" s="203"/>
      <c r="M428" s="204"/>
    </row>
    <row r="429" spans="8:13" x14ac:dyDescent="0.25">
      <c r="H429" s="203"/>
      <c r="I429" s="203"/>
      <c r="J429" s="203"/>
      <c r="K429" s="203"/>
      <c r="L429" s="203"/>
      <c r="M429" s="204"/>
    </row>
    <row r="430" spans="8:13" x14ac:dyDescent="0.25">
      <c r="H430" s="203"/>
      <c r="I430" s="203"/>
      <c r="J430" s="203"/>
      <c r="K430" s="203"/>
      <c r="L430" s="203"/>
      <c r="M430" s="204"/>
    </row>
    <row r="431" spans="8:13" x14ac:dyDescent="0.25">
      <c r="H431" s="203"/>
      <c r="I431" s="203"/>
      <c r="J431" s="203"/>
      <c r="K431" s="203"/>
      <c r="L431" s="203"/>
      <c r="M431" s="204"/>
    </row>
    <row r="432" spans="8:13" x14ac:dyDescent="0.25">
      <c r="H432" s="203"/>
      <c r="I432" s="203"/>
      <c r="J432" s="203"/>
      <c r="K432" s="203"/>
      <c r="L432" s="203"/>
      <c r="M432" s="204"/>
    </row>
    <row r="433" spans="8:13" x14ac:dyDescent="0.25">
      <c r="H433" s="203"/>
      <c r="I433" s="203"/>
      <c r="J433" s="203"/>
      <c r="K433" s="203"/>
      <c r="L433" s="203"/>
      <c r="M433" s="204"/>
    </row>
    <row r="434" spans="8:13" x14ac:dyDescent="0.25">
      <c r="H434" s="203"/>
      <c r="I434" s="203"/>
      <c r="J434" s="203"/>
      <c r="K434" s="203"/>
      <c r="L434" s="203"/>
      <c r="M434" s="204"/>
    </row>
    <row r="435" spans="8:13" x14ac:dyDescent="0.25">
      <c r="H435" s="203"/>
      <c r="I435" s="203"/>
      <c r="J435" s="203"/>
      <c r="K435" s="203"/>
      <c r="L435" s="203"/>
      <c r="M435" s="204"/>
    </row>
    <row r="436" spans="8:13" x14ac:dyDescent="0.25">
      <c r="H436" s="203"/>
      <c r="I436" s="203"/>
      <c r="J436" s="203"/>
      <c r="K436" s="203"/>
      <c r="L436" s="203"/>
      <c r="M436" s="204"/>
    </row>
    <row r="437" spans="8:13" x14ac:dyDescent="0.25">
      <c r="H437" s="203"/>
      <c r="I437" s="203"/>
      <c r="J437" s="203"/>
      <c r="K437" s="203"/>
      <c r="L437" s="203"/>
      <c r="M437" s="204"/>
    </row>
    <row r="438" spans="8:13" x14ac:dyDescent="0.25">
      <c r="H438" s="203"/>
      <c r="I438" s="203"/>
      <c r="J438" s="203"/>
      <c r="K438" s="203"/>
      <c r="L438" s="203"/>
      <c r="M438" s="204"/>
    </row>
    <row r="439" spans="8:13" x14ac:dyDescent="0.25">
      <c r="H439" s="203"/>
      <c r="I439" s="203"/>
      <c r="J439" s="203"/>
      <c r="K439" s="203"/>
      <c r="L439" s="203"/>
      <c r="M439" s="204"/>
    </row>
    <row r="440" spans="8:13" x14ac:dyDescent="0.25">
      <c r="H440" s="203"/>
      <c r="I440" s="203"/>
      <c r="J440" s="203"/>
      <c r="K440" s="203"/>
      <c r="L440" s="203"/>
      <c r="M440" s="204"/>
    </row>
    <row r="441" spans="8:13" x14ac:dyDescent="0.25">
      <c r="H441" s="203"/>
      <c r="I441" s="203"/>
      <c r="J441" s="203"/>
      <c r="K441" s="203"/>
      <c r="L441" s="203"/>
      <c r="M441" s="204"/>
    </row>
    <row r="442" spans="8:13" x14ac:dyDescent="0.25">
      <c r="H442" s="203"/>
      <c r="I442" s="203"/>
      <c r="J442" s="203"/>
      <c r="K442" s="203"/>
      <c r="L442" s="203"/>
      <c r="M442" s="204"/>
    </row>
    <row r="443" spans="8:13" x14ac:dyDescent="0.25">
      <c r="H443" s="203"/>
      <c r="I443" s="203"/>
      <c r="J443" s="203"/>
      <c r="K443" s="203"/>
      <c r="L443" s="203"/>
      <c r="M443" s="204"/>
    </row>
    <row r="444" spans="8:13" x14ac:dyDescent="0.25">
      <c r="H444" s="203"/>
      <c r="I444" s="203"/>
      <c r="J444" s="203"/>
      <c r="K444" s="203"/>
      <c r="L444" s="203"/>
      <c r="M444" s="204"/>
    </row>
    <row r="445" spans="8:13" x14ac:dyDescent="0.25">
      <c r="H445" s="203"/>
      <c r="I445" s="203"/>
      <c r="J445" s="203"/>
      <c r="K445" s="203"/>
      <c r="L445" s="203"/>
      <c r="M445" s="204"/>
    </row>
    <row r="446" spans="8:13" x14ac:dyDescent="0.25">
      <c r="H446" s="203"/>
      <c r="I446" s="203"/>
      <c r="J446" s="203"/>
      <c r="K446" s="203"/>
      <c r="L446" s="203"/>
      <c r="M446" s="204"/>
    </row>
    <row r="447" spans="8:13" x14ac:dyDescent="0.25">
      <c r="H447" s="203"/>
      <c r="I447" s="203"/>
      <c r="J447" s="203"/>
      <c r="K447" s="203"/>
      <c r="L447" s="203"/>
      <c r="M447" s="204"/>
    </row>
    <row r="448" spans="8:13" x14ac:dyDescent="0.25">
      <c r="H448" s="203"/>
      <c r="I448" s="203"/>
      <c r="J448" s="203"/>
      <c r="K448" s="203"/>
      <c r="L448" s="203"/>
      <c r="M448" s="204"/>
    </row>
    <row r="449" spans="8:13" x14ac:dyDescent="0.25">
      <c r="H449" s="203"/>
      <c r="I449" s="203"/>
      <c r="J449" s="203"/>
      <c r="K449" s="203"/>
      <c r="L449" s="203"/>
      <c r="M449" s="204"/>
    </row>
    <row r="450" spans="8:13" x14ac:dyDescent="0.25">
      <c r="H450" s="203"/>
      <c r="I450" s="203"/>
      <c r="J450" s="203"/>
      <c r="K450" s="203"/>
      <c r="L450" s="203"/>
      <c r="M450" s="204"/>
    </row>
    <row r="451" spans="8:13" x14ac:dyDescent="0.25">
      <c r="H451" s="203"/>
      <c r="I451" s="203"/>
      <c r="J451" s="203"/>
      <c r="K451" s="203"/>
      <c r="L451" s="203"/>
      <c r="M451" s="204"/>
    </row>
    <row r="452" spans="8:13" x14ac:dyDescent="0.25">
      <c r="H452" s="203"/>
      <c r="I452" s="203"/>
      <c r="J452" s="203"/>
      <c r="K452" s="203"/>
      <c r="L452" s="203"/>
      <c r="M452" s="204"/>
    </row>
    <row r="453" spans="8:13" x14ac:dyDescent="0.25">
      <c r="H453" s="203"/>
      <c r="I453" s="203"/>
      <c r="J453" s="203"/>
      <c r="K453" s="203"/>
      <c r="L453" s="203"/>
      <c r="M453" s="204"/>
    </row>
    <row r="454" spans="8:13" x14ac:dyDescent="0.25">
      <c r="H454" s="203"/>
      <c r="I454" s="203"/>
      <c r="J454" s="203"/>
      <c r="K454" s="203"/>
      <c r="L454" s="203"/>
      <c r="M454" s="204"/>
    </row>
    <row r="455" spans="8:13" x14ac:dyDescent="0.25">
      <c r="H455" s="203"/>
      <c r="I455" s="203"/>
      <c r="J455" s="203"/>
      <c r="K455" s="203"/>
      <c r="L455" s="203"/>
      <c r="M455" s="204"/>
    </row>
    <row r="456" spans="8:13" x14ac:dyDescent="0.25">
      <c r="H456" s="203"/>
      <c r="I456" s="203"/>
      <c r="J456" s="203"/>
      <c r="K456" s="203"/>
      <c r="L456" s="203"/>
      <c r="M456" s="204"/>
    </row>
    <row r="457" spans="8:13" x14ac:dyDescent="0.25">
      <c r="H457" s="203"/>
      <c r="I457" s="203"/>
      <c r="J457" s="203"/>
      <c r="K457" s="203"/>
      <c r="L457" s="203"/>
      <c r="M457" s="204"/>
    </row>
    <row r="458" spans="8:13" x14ac:dyDescent="0.25">
      <c r="H458" s="203"/>
      <c r="I458" s="203"/>
      <c r="J458" s="203"/>
      <c r="K458" s="203"/>
      <c r="L458" s="203"/>
      <c r="M458" s="204"/>
    </row>
    <row r="459" spans="8:13" x14ac:dyDescent="0.25">
      <c r="H459" s="203"/>
      <c r="I459" s="203"/>
      <c r="J459" s="203"/>
      <c r="K459" s="203"/>
      <c r="L459" s="203"/>
      <c r="M459" s="204"/>
    </row>
    <row r="460" spans="8:13" x14ac:dyDescent="0.25">
      <c r="H460" s="203"/>
      <c r="I460" s="203"/>
      <c r="J460" s="203"/>
      <c r="K460" s="203"/>
      <c r="L460" s="203"/>
      <c r="M460" s="204"/>
    </row>
    <row r="461" spans="8:13" x14ac:dyDescent="0.25">
      <c r="H461" s="203"/>
      <c r="I461" s="203"/>
      <c r="J461" s="203"/>
      <c r="K461" s="203"/>
      <c r="L461" s="203"/>
      <c r="M461" s="204"/>
    </row>
    <row r="462" spans="8:13" x14ac:dyDescent="0.25">
      <c r="H462" s="203"/>
      <c r="I462" s="203"/>
      <c r="J462" s="203"/>
      <c r="K462" s="203"/>
      <c r="L462" s="203"/>
      <c r="M462" s="204"/>
    </row>
    <row r="463" spans="8:13" x14ac:dyDescent="0.25">
      <c r="H463" s="203"/>
      <c r="I463" s="203"/>
      <c r="J463" s="203"/>
      <c r="K463" s="203"/>
      <c r="L463" s="203"/>
      <c r="M463" s="204"/>
    </row>
    <row r="464" spans="8:13" x14ac:dyDescent="0.25">
      <c r="H464" s="203"/>
      <c r="I464" s="203"/>
      <c r="J464" s="203"/>
      <c r="K464" s="203"/>
      <c r="L464" s="203"/>
      <c r="M464" s="204"/>
    </row>
    <row r="465" spans="8:13" x14ac:dyDescent="0.25">
      <c r="H465" s="203"/>
      <c r="I465" s="203"/>
      <c r="J465" s="203"/>
      <c r="K465" s="203"/>
      <c r="L465" s="203"/>
      <c r="M465" s="204"/>
    </row>
    <row r="466" spans="8:13" x14ac:dyDescent="0.25">
      <c r="H466" s="203"/>
      <c r="I466" s="203"/>
      <c r="J466" s="203"/>
      <c r="K466" s="203"/>
      <c r="L466" s="203"/>
      <c r="M466" s="204"/>
    </row>
    <row r="467" spans="8:13" x14ac:dyDescent="0.25">
      <c r="H467" s="203"/>
      <c r="I467" s="203"/>
      <c r="J467" s="203"/>
      <c r="K467" s="203"/>
      <c r="L467" s="203"/>
      <c r="M467" s="204"/>
    </row>
    <row r="468" spans="8:13" x14ac:dyDescent="0.25">
      <c r="H468" s="203"/>
      <c r="I468" s="203"/>
      <c r="J468" s="203"/>
      <c r="K468" s="203"/>
      <c r="L468" s="203"/>
      <c r="M468" s="204"/>
    </row>
    <row r="469" spans="8:13" x14ac:dyDescent="0.25">
      <c r="H469" s="203"/>
      <c r="I469" s="203"/>
      <c r="J469" s="203"/>
      <c r="K469" s="203"/>
      <c r="L469" s="203"/>
      <c r="M469" s="204"/>
    </row>
    <row r="470" spans="8:13" x14ac:dyDescent="0.25">
      <c r="H470" s="203"/>
      <c r="I470" s="203"/>
      <c r="J470" s="203"/>
      <c r="K470" s="203"/>
      <c r="L470" s="203"/>
      <c r="M470" s="204"/>
    </row>
    <row r="471" spans="8:13" x14ac:dyDescent="0.25">
      <c r="H471" s="203"/>
      <c r="I471" s="203"/>
      <c r="J471" s="203"/>
      <c r="K471" s="203"/>
      <c r="L471" s="203"/>
      <c r="M471" s="204"/>
    </row>
    <row r="472" spans="8:13" x14ac:dyDescent="0.25">
      <c r="H472" s="203"/>
      <c r="I472" s="203"/>
      <c r="J472" s="203"/>
      <c r="K472" s="203"/>
      <c r="L472" s="203"/>
      <c r="M472" s="204"/>
    </row>
    <row r="473" spans="8:13" x14ac:dyDescent="0.25">
      <c r="H473" s="203"/>
      <c r="I473" s="203"/>
      <c r="J473" s="203"/>
      <c r="K473" s="203"/>
      <c r="L473" s="203"/>
      <c r="M473" s="204"/>
    </row>
    <row r="474" spans="8:13" x14ac:dyDescent="0.25">
      <c r="H474" s="203"/>
      <c r="I474" s="203"/>
      <c r="J474" s="203"/>
      <c r="K474" s="203"/>
      <c r="L474" s="203"/>
      <c r="M474" s="204"/>
    </row>
    <row r="475" spans="8:13" x14ac:dyDescent="0.25">
      <c r="H475" s="203"/>
      <c r="I475" s="203"/>
      <c r="J475" s="203"/>
      <c r="K475" s="203"/>
      <c r="L475" s="203"/>
      <c r="M475" s="204"/>
    </row>
    <row r="476" spans="8:13" x14ac:dyDescent="0.25">
      <c r="H476" s="203"/>
      <c r="I476" s="203"/>
      <c r="J476" s="203"/>
      <c r="K476" s="203"/>
      <c r="L476" s="203"/>
      <c r="M476" s="204"/>
    </row>
    <row r="477" spans="8:13" x14ac:dyDescent="0.25">
      <c r="H477" s="203"/>
      <c r="I477" s="203"/>
      <c r="J477" s="203"/>
      <c r="K477" s="203"/>
      <c r="L477" s="203"/>
      <c r="M477" s="204"/>
    </row>
    <row r="478" spans="8:13" x14ac:dyDescent="0.25">
      <c r="H478" s="203"/>
      <c r="I478" s="203"/>
      <c r="J478" s="203"/>
      <c r="K478" s="203"/>
      <c r="L478" s="203"/>
      <c r="M478" s="204"/>
    </row>
    <row r="479" spans="8:13" x14ac:dyDescent="0.25">
      <c r="H479" s="203"/>
      <c r="I479" s="203"/>
      <c r="J479" s="203"/>
      <c r="K479" s="203"/>
      <c r="L479" s="203"/>
      <c r="M479" s="204"/>
    </row>
    <row r="480" spans="8:13" x14ac:dyDescent="0.25">
      <c r="H480" s="203"/>
      <c r="I480" s="203"/>
      <c r="J480" s="203"/>
      <c r="K480" s="203"/>
      <c r="L480" s="203"/>
      <c r="M480" s="204"/>
    </row>
    <row r="481" spans="8:13" x14ac:dyDescent="0.25">
      <c r="H481" s="203"/>
      <c r="I481" s="203"/>
      <c r="J481" s="203"/>
      <c r="K481" s="203"/>
      <c r="L481" s="203"/>
      <c r="M481" s="204"/>
    </row>
    <row r="482" spans="8:13" x14ac:dyDescent="0.25">
      <c r="H482" s="203"/>
      <c r="I482" s="203"/>
      <c r="J482" s="203"/>
      <c r="K482" s="203"/>
      <c r="L482" s="203"/>
      <c r="M482" s="204"/>
    </row>
    <row r="483" spans="8:13" x14ac:dyDescent="0.25">
      <c r="H483" s="203"/>
      <c r="I483" s="203"/>
      <c r="J483" s="203"/>
      <c r="K483" s="203"/>
      <c r="L483" s="203"/>
      <c r="M483" s="204"/>
    </row>
    <row r="484" spans="8:13" x14ac:dyDescent="0.25">
      <c r="H484" s="203"/>
      <c r="I484" s="203"/>
      <c r="J484" s="203"/>
      <c r="K484" s="203"/>
      <c r="L484" s="203"/>
      <c r="M484" s="204"/>
    </row>
    <row r="485" spans="8:13" x14ac:dyDescent="0.25">
      <c r="H485" s="203"/>
      <c r="I485" s="203"/>
      <c r="J485" s="203"/>
      <c r="K485" s="203"/>
      <c r="L485" s="203"/>
      <c r="M485" s="204"/>
    </row>
    <row r="486" spans="8:13" x14ac:dyDescent="0.25">
      <c r="H486" s="203"/>
      <c r="I486" s="203"/>
      <c r="J486" s="203"/>
      <c r="K486" s="203"/>
      <c r="L486" s="203"/>
      <c r="M486" s="204"/>
    </row>
    <row r="487" spans="8:13" x14ac:dyDescent="0.25">
      <c r="H487" s="203"/>
      <c r="I487" s="203"/>
      <c r="J487" s="203"/>
      <c r="K487" s="203"/>
      <c r="L487" s="203"/>
      <c r="M487" s="204"/>
    </row>
    <row r="488" spans="8:13" x14ac:dyDescent="0.25">
      <c r="H488" s="203"/>
      <c r="I488" s="203"/>
      <c r="J488" s="203"/>
      <c r="K488" s="203"/>
      <c r="L488" s="203"/>
      <c r="M488" s="204"/>
    </row>
    <row r="489" spans="8:13" x14ac:dyDescent="0.25">
      <c r="H489" s="203"/>
      <c r="I489" s="203"/>
      <c r="J489" s="203"/>
      <c r="K489" s="203"/>
      <c r="L489" s="203"/>
      <c r="M489" s="204"/>
    </row>
    <row r="490" spans="8:13" x14ac:dyDescent="0.25">
      <c r="H490" s="203"/>
      <c r="I490" s="203"/>
      <c r="J490" s="203"/>
      <c r="K490" s="203"/>
      <c r="L490" s="203"/>
      <c r="M490" s="204"/>
    </row>
    <row r="491" spans="8:13" x14ac:dyDescent="0.25">
      <c r="H491" s="203"/>
      <c r="I491" s="203"/>
      <c r="J491" s="203"/>
      <c r="K491" s="203"/>
      <c r="L491" s="203"/>
      <c r="M491" s="204"/>
    </row>
    <row r="492" spans="8:13" x14ac:dyDescent="0.25">
      <c r="H492" s="203"/>
      <c r="I492" s="203"/>
      <c r="J492" s="203"/>
      <c r="K492" s="203"/>
      <c r="L492" s="203"/>
      <c r="M492" s="204"/>
    </row>
    <row r="493" spans="8:13" x14ac:dyDescent="0.25">
      <c r="H493" s="203"/>
      <c r="I493" s="203"/>
      <c r="J493" s="203"/>
      <c r="K493" s="203"/>
      <c r="L493" s="203"/>
      <c r="M493" s="204"/>
    </row>
    <row r="494" spans="8:13" x14ac:dyDescent="0.25">
      <c r="H494" s="203"/>
      <c r="I494" s="203"/>
      <c r="J494" s="203"/>
      <c r="K494" s="203"/>
      <c r="L494" s="203"/>
      <c r="M494" s="204"/>
    </row>
    <row r="495" spans="8:13" x14ac:dyDescent="0.25">
      <c r="H495" s="203"/>
      <c r="I495" s="203"/>
      <c r="J495" s="203"/>
      <c r="K495" s="203"/>
      <c r="L495" s="203"/>
      <c r="M495" s="204"/>
    </row>
    <row r="496" spans="8:13" x14ac:dyDescent="0.25">
      <c r="H496" s="203"/>
      <c r="I496" s="203"/>
      <c r="J496" s="203"/>
      <c r="K496" s="203"/>
      <c r="L496" s="203"/>
      <c r="M496" s="204"/>
    </row>
    <row r="497" spans="8:13" x14ac:dyDescent="0.25">
      <c r="H497" s="203"/>
      <c r="I497" s="203"/>
      <c r="J497" s="203"/>
      <c r="K497" s="203"/>
      <c r="L497" s="203"/>
      <c r="M497" s="204"/>
    </row>
    <row r="498" spans="8:13" x14ac:dyDescent="0.25">
      <c r="H498" s="203"/>
      <c r="I498" s="203"/>
      <c r="J498" s="203"/>
      <c r="K498" s="203"/>
      <c r="L498" s="203"/>
      <c r="M498" s="204"/>
    </row>
    <row r="499" spans="8:13" x14ac:dyDescent="0.25">
      <c r="H499" s="203"/>
      <c r="I499" s="203"/>
      <c r="J499" s="203"/>
      <c r="K499" s="203"/>
      <c r="L499" s="203"/>
      <c r="M499" s="204"/>
    </row>
    <row r="500" spans="8:13" x14ac:dyDescent="0.25">
      <c r="H500" s="203"/>
      <c r="I500" s="203"/>
      <c r="J500" s="203"/>
      <c r="K500" s="203"/>
      <c r="L500" s="203"/>
      <c r="M500" s="204"/>
    </row>
    <row r="501" spans="8:13" x14ac:dyDescent="0.25">
      <c r="H501" s="203"/>
      <c r="I501" s="203"/>
      <c r="J501" s="203"/>
      <c r="K501" s="203"/>
      <c r="L501" s="203"/>
      <c r="M501" s="204"/>
    </row>
    <row r="502" spans="8:13" x14ac:dyDescent="0.25">
      <c r="H502" s="203"/>
      <c r="I502" s="203"/>
      <c r="J502" s="203"/>
      <c r="K502" s="203"/>
      <c r="L502" s="203"/>
      <c r="M502" s="204"/>
    </row>
    <row r="503" spans="8:13" x14ac:dyDescent="0.25">
      <c r="H503" s="203"/>
      <c r="I503" s="203"/>
      <c r="J503" s="203"/>
      <c r="K503" s="203"/>
      <c r="L503" s="203"/>
      <c r="M503" s="204"/>
    </row>
    <row r="504" spans="8:13" x14ac:dyDescent="0.25">
      <c r="H504" s="203"/>
      <c r="I504" s="203"/>
      <c r="J504" s="203"/>
      <c r="K504" s="203"/>
      <c r="L504" s="203"/>
      <c r="M504" s="204"/>
    </row>
    <row r="505" spans="8:13" x14ac:dyDescent="0.25">
      <c r="H505" s="203"/>
      <c r="I505" s="203"/>
      <c r="J505" s="203"/>
      <c r="K505" s="203"/>
      <c r="L505" s="203"/>
      <c r="M505" s="204"/>
    </row>
    <row r="506" spans="8:13" x14ac:dyDescent="0.25">
      <c r="H506" s="203"/>
      <c r="I506" s="203"/>
      <c r="J506" s="203"/>
      <c r="K506" s="203"/>
      <c r="L506" s="203"/>
      <c r="M506" s="204"/>
    </row>
    <row r="507" spans="8:13" x14ac:dyDescent="0.25">
      <c r="H507" s="203"/>
      <c r="I507" s="203"/>
      <c r="J507" s="203"/>
      <c r="K507" s="203"/>
      <c r="L507" s="203"/>
      <c r="M507" s="204"/>
    </row>
    <row r="508" spans="8:13" x14ac:dyDescent="0.25">
      <c r="H508" s="203"/>
      <c r="I508" s="203"/>
      <c r="J508" s="203"/>
      <c r="K508" s="203"/>
      <c r="L508" s="203"/>
      <c r="M508" s="204"/>
    </row>
    <row r="509" spans="8:13" x14ac:dyDescent="0.25">
      <c r="H509" s="203"/>
      <c r="I509" s="203"/>
      <c r="J509" s="203"/>
      <c r="K509" s="203"/>
      <c r="L509" s="203"/>
      <c r="M509" s="204"/>
    </row>
    <row r="510" spans="8:13" x14ac:dyDescent="0.25">
      <c r="H510" s="203"/>
      <c r="I510" s="203"/>
      <c r="J510" s="203"/>
      <c r="K510" s="203"/>
      <c r="L510" s="203"/>
      <c r="M510" s="204"/>
    </row>
    <row r="511" spans="8:13" x14ac:dyDescent="0.25">
      <c r="H511" s="203"/>
      <c r="I511" s="203"/>
      <c r="J511" s="203"/>
      <c r="K511" s="203"/>
      <c r="L511" s="203"/>
      <c r="M511" s="204"/>
    </row>
    <row r="512" spans="8:13" x14ac:dyDescent="0.25">
      <c r="H512" s="203"/>
      <c r="I512" s="203"/>
      <c r="J512" s="203"/>
      <c r="K512" s="203"/>
      <c r="L512" s="203"/>
      <c r="M512" s="204"/>
    </row>
    <row r="513" spans="8:13" x14ac:dyDescent="0.25">
      <c r="H513" s="203"/>
      <c r="I513" s="203"/>
      <c r="J513" s="203"/>
      <c r="K513" s="203"/>
      <c r="L513" s="203"/>
      <c r="M513" s="204"/>
    </row>
    <row r="514" spans="8:13" x14ac:dyDescent="0.25">
      <c r="H514" s="203"/>
      <c r="I514" s="203"/>
      <c r="J514" s="203"/>
      <c r="K514" s="203"/>
      <c r="L514" s="203"/>
      <c r="M514" s="204"/>
    </row>
    <row r="515" spans="8:13" x14ac:dyDescent="0.25">
      <c r="H515" s="203"/>
      <c r="I515" s="203"/>
      <c r="J515" s="203"/>
      <c r="K515" s="203"/>
      <c r="L515" s="203"/>
      <c r="M515" s="204"/>
    </row>
    <row r="516" spans="8:13" x14ac:dyDescent="0.25">
      <c r="H516" s="203"/>
      <c r="I516" s="203"/>
      <c r="J516" s="203"/>
      <c r="K516" s="203"/>
      <c r="L516" s="203"/>
      <c r="M516" s="204"/>
    </row>
    <row r="517" spans="8:13" x14ac:dyDescent="0.25">
      <c r="H517" s="203"/>
      <c r="I517" s="203"/>
      <c r="J517" s="203"/>
      <c r="K517" s="203"/>
      <c r="L517" s="203"/>
      <c r="M517" s="204"/>
    </row>
    <row r="518" spans="8:13" x14ac:dyDescent="0.25">
      <c r="H518" s="203"/>
      <c r="I518" s="203"/>
      <c r="J518" s="203"/>
      <c r="K518" s="203"/>
      <c r="L518" s="203"/>
      <c r="M518" s="204"/>
    </row>
    <row r="519" spans="8:13" x14ac:dyDescent="0.25">
      <c r="H519" s="203"/>
      <c r="I519" s="203"/>
      <c r="J519" s="203"/>
      <c r="K519" s="203"/>
      <c r="L519" s="203"/>
      <c r="M519" s="204"/>
    </row>
    <row r="520" spans="8:13" x14ac:dyDescent="0.25">
      <c r="H520" s="203"/>
      <c r="I520" s="203"/>
      <c r="J520" s="203"/>
      <c r="K520" s="203"/>
      <c r="L520" s="203"/>
      <c r="M520" s="204"/>
    </row>
    <row r="521" spans="8:13" x14ac:dyDescent="0.25">
      <c r="H521" s="203"/>
      <c r="I521" s="203"/>
      <c r="J521" s="203"/>
      <c r="K521" s="203"/>
      <c r="L521" s="203"/>
      <c r="M521" s="204"/>
    </row>
    <row r="522" spans="8:13" x14ac:dyDescent="0.25">
      <c r="H522" s="203"/>
      <c r="I522" s="203"/>
      <c r="J522" s="203"/>
      <c r="K522" s="203"/>
      <c r="L522" s="203"/>
      <c r="M522" s="204"/>
    </row>
    <row r="523" spans="8:13" x14ac:dyDescent="0.25">
      <c r="H523" s="203"/>
      <c r="I523" s="203"/>
      <c r="J523" s="203"/>
      <c r="K523" s="203"/>
      <c r="L523" s="203"/>
      <c r="M523" s="204"/>
    </row>
    <row r="524" spans="8:13" x14ac:dyDescent="0.25">
      <c r="H524" s="203"/>
      <c r="I524" s="203"/>
      <c r="J524" s="203"/>
      <c r="K524" s="203"/>
      <c r="L524" s="203"/>
      <c r="M524" s="204"/>
    </row>
    <row r="525" spans="8:13" x14ac:dyDescent="0.25">
      <c r="H525" s="203"/>
      <c r="I525" s="203"/>
      <c r="J525" s="203"/>
      <c r="K525" s="203"/>
      <c r="L525" s="203"/>
      <c r="M525" s="204"/>
    </row>
    <row r="526" spans="8:13" x14ac:dyDescent="0.25">
      <c r="H526" s="203"/>
      <c r="I526" s="203"/>
      <c r="J526" s="203"/>
      <c r="K526" s="203"/>
      <c r="L526" s="203"/>
      <c r="M526" s="204"/>
    </row>
    <row r="527" spans="8:13" x14ac:dyDescent="0.25">
      <c r="H527" s="203"/>
      <c r="I527" s="203"/>
      <c r="J527" s="203"/>
      <c r="K527" s="203"/>
      <c r="L527" s="203"/>
      <c r="M527" s="204"/>
    </row>
    <row r="528" spans="8:13" x14ac:dyDescent="0.25">
      <c r="H528" s="203"/>
      <c r="I528" s="203"/>
      <c r="J528" s="203"/>
      <c r="K528" s="203"/>
      <c r="L528" s="203"/>
      <c r="M528" s="204"/>
    </row>
    <row r="529" spans="8:13" x14ac:dyDescent="0.25">
      <c r="H529" s="203"/>
      <c r="I529" s="203"/>
      <c r="J529" s="203"/>
      <c r="K529" s="203"/>
      <c r="L529" s="203"/>
      <c r="M529" s="204"/>
    </row>
    <row r="530" spans="8:13" x14ac:dyDescent="0.25">
      <c r="H530" s="203"/>
      <c r="I530" s="203"/>
      <c r="J530" s="203"/>
      <c r="K530" s="203"/>
      <c r="L530" s="203"/>
      <c r="M530" s="204"/>
    </row>
    <row r="531" spans="8:13" x14ac:dyDescent="0.25">
      <c r="H531" s="203"/>
      <c r="I531" s="203"/>
      <c r="J531" s="203"/>
      <c r="K531" s="203"/>
      <c r="L531" s="203"/>
      <c r="M531" s="204"/>
    </row>
    <row r="532" spans="8:13" x14ac:dyDescent="0.25">
      <c r="H532" s="203"/>
      <c r="I532" s="203"/>
      <c r="J532" s="203"/>
      <c r="K532" s="203"/>
      <c r="L532" s="203"/>
      <c r="M532" s="204"/>
    </row>
    <row r="533" spans="8:13" x14ac:dyDescent="0.25">
      <c r="H533" s="203"/>
      <c r="I533" s="203"/>
      <c r="J533" s="203"/>
      <c r="K533" s="203"/>
      <c r="L533" s="203"/>
      <c r="M533" s="204"/>
    </row>
    <row r="534" spans="8:13" x14ac:dyDescent="0.25">
      <c r="H534" s="203"/>
      <c r="I534" s="203"/>
      <c r="J534" s="203"/>
      <c r="K534" s="203"/>
      <c r="L534" s="203"/>
      <c r="M534" s="204"/>
    </row>
    <row r="535" spans="8:13" x14ac:dyDescent="0.25">
      <c r="H535" s="203"/>
      <c r="I535" s="203"/>
      <c r="J535" s="203"/>
      <c r="K535" s="203"/>
      <c r="L535" s="203"/>
      <c r="M535" s="204"/>
    </row>
    <row r="536" spans="8:13" x14ac:dyDescent="0.25">
      <c r="H536" s="203"/>
      <c r="I536" s="203"/>
      <c r="J536" s="203"/>
      <c r="K536" s="203"/>
      <c r="L536" s="203"/>
      <c r="M536" s="204"/>
    </row>
    <row r="537" spans="8:13" x14ac:dyDescent="0.25">
      <c r="H537" s="203"/>
      <c r="I537" s="203"/>
      <c r="J537" s="203"/>
      <c r="K537" s="203"/>
      <c r="L537" s="203"/>
      <c r="M537" s="204"/>
    </row>
    <row r="538" spans="8:13" x14ac:dyDescent="0.25">
      <c r="H538" s="203"/>
      <c r="I538" s="203"/>
      <c r="J538" s="203"/>
      <c r="K538" s="203"/>
      <c r="L538" s="203"/>
      <c r="M538" s="204"/>
    </row>
    <row r="539" spans="8:13" x14ac:dyDescent="0.25">
      <c r="H539" s="203"/>
      <c r="I539" s="203"/>
      <c r="J539" s="203"/>
      <c r="K539" s="203"/>
      <c r="L539" s="203"/>
      <c r="M539" s="204"/>
    </row>
    <row r="540" spans="8:13" x14ac:dyDescent="0.25">
      <c r="H540" s="203"/>
      <c r="I540" s="203"/>
      <c r="J540" s="203"/>
      <c r="K540" s="203"/>
      <c r="L540" s="203"/>
      <c r="M540" s="204"/>
    </row>
    <row r="541" spans="8:13" x14ac:dyDescent="0.25">
      <c r="H541" s="203"/>
      <c r="I541" s="203"/>
      <c r="J541" s="203"/>
      <c r="K541" s="203"/>
      <c r="L541" s="203"/>
      <c r="M541" s="204"/>
    </row>
    <row r="542" spans="8:13" x14ac:dyDescent="0.25">
      <c r="H542" s="203"/>
      <c r="I542" s="203"/>
      <c r="J542" s="203"/>
      <c r="K542" s="203"/>
      <c r="L542" s="203"/>
      <c r="M542" s="204"/>
    </row>
    <row r="543" spans="8:13" x14ac:dyDescent="0.25">
      <c r="H543" s="203"/>
      <c r="I543" s="203"/>
      <c r="J543" s="203"/>
      <c r="K543" s="203"/>
      <c r="L543" s="203"/>
      <c r="M543" s="204"/>
    </row>
    <row r="544" spans="8:13" x14ac:dyDescent="0.25">
      <c r="H544" s="203"/>
      <c r="I544" s="203"/>
      <c r="J544" s="203"/>
      <c r="K544" s="203"/>
      <c r="L544" s="203"/>
      <c r="M544" s="204"/>
    </row>
    <row r="545" spans="8:13" x14ac:dyDescent="0.25">
      <c r="H545" s="203"/>
      <c r="I545" s="203"/>
      <c r="J545" s="203"/>
      <c r="K545" s="203"/>
      <c r="L545" s="203"/>
      <c r="M545" s="204"/>
    </row>
    <row r="546" spans="8:13" x14ac:dyDescent="0.25">
      <c r="H546" s="203"/>
      <c r="I546" s="203"/>
      <c r="J546" s="203"/>
      <c r="K546" s="203"/>
      <c r="L546" s="203"/>
      <c r="M546" s="204"/>
    </row>
    <row r="547" spans="8:13" x14ac:dyDescent="0.25">
      <c r="H547" s="203"/>
      <c r="I547" s="203"/>
      <c r="J547" s="203"/>
      <c r="K547" s="203"/>
      <c r="L547" s="203"/>
      <c r="M547" s="204"/>
    </row>
    <row r="548" spans="8:13" x14ac:dyDescent="0.25">
      <c r="H548" s="203"/>
      <c r="I548" s="203"/>
      <c r="J548" s="203"/>
      <c r="K548" s="203"/>
      <c r="L548" s="203"/>
      <c r="M548" s="204"/>
    </row>
    <row r="549" spans="8:13" x14ac:dyDescent="0.25">
      <c r="H549" s="203"/>
      <c r="I549" s="203"/>
      <c r="J549" s="203"/>
      <c r="K549" s="203"/>
      <c r="L549" s="203"/>
      <c r="M549" s="204"/>
    </row>
    <row r="550" spans="8:13" x14ac:dyDescent="0.25">
      <c r="H550" s="203"/>
      <c r="I550" s="203"/>
      <c r="J550" s="203"/>
      <c r="K550" s="203"/>
      <c r="L550" s="203"/>
      <c r="M550" s="204"/>
    </row>
    <row r="551" spans="8:13" x14ac:dyDescent="0.25">
      <c r="H551" s="203"/>
      <c r="I551" s="203"/>
      <c r="J551" s="203"/>
      <c r="K551" s="203"/>
      <c r="L551" s="203"/>
      <c r="M551" s="204"/>
    </row>
    <row r="552" spans="8:13" x14ac:dyDescent="0.25">
      <c r="H552" s="203"/>
      <c r="I552" s="203"/>
      <c r="J552" s="203"/>
      <c r="K552" s="203"/>
      <c r="L552" s="203"/>
      <c r="M552" s="204"/>
    </row>
    <row r="553" spans="8:13" x14ac:dyDescent="0.25">
      <c r="H553" s="203"/>
      <c r="I553" s="203"/>
      <c r="J553" s="203"/>
      <c r="K553" s="203"/>
      <c r="L553" s="203"/>
      <c r="M553" s="204"/>
    </row>
    <row r="554" spans="8:13" x14ac:dyDescent="0.25">
      <c r="H554" s="203"/>
      <c r="I554" s="203"/>
      <c r="J554" s="203"/>
      <c r="K554" s="203"/>
      <c r="L554" s="203"/>
      <c r="M554" s="204"/>
    </row>
    <row r="555" spans="8:13" x14ac:dyDescent="0.25">
      <c r="H555" s="203"/>
      <c r="I555" s="203"/>
      <c r="J555" s="203"/>
      <c r="K555" s="203"/>
      <c r="L555" s="203"/>
      <c r="M555" s="204"/>
    </row>
    <row r="556" spans="8:13" x14ac:dyDescent="0.25">
      <c r="H556" s="203"/>
      <c r="I556" s="203"/>
      <c r="J556" s="203"/>
      <c r="K556" s="203"/>
      <c r="L556" s="203"/>
      <c r="M556" s="204"/>
    </row>
    <row r="557" spans="8:13" x14ac:dyDescent="0.25">
      <c r="H557" s="203"/>
      <c r="I557" s="203"/>
      <c r="J557" s="203"/>
      <c r="K557" s="203"/>
      <c r="L557" s="203"/>
      <c r="M557" s="204"/>
    </row>
    <row r="558" spans="8:13" x14ac:dyDescent="0.25">
      <c r="H558" s="203"/>
      <c r="I558" s="203"/>
      <c r="J558" s="203"/>
      <c r="K558" s="203"/>
      <c r="L558" s="203"/>
      <c r="M558" s="204"/>
    </row>
    <row r="559" spans="8:13" x14ac:dyDescent="0.25">
      <c r="H559" s="203"/>
      <c r="I559" s="203"/>
      <c r="J559" s="203"/>
      <c r="K559" s="203"/>
      <c r="L559" s="203"/>
      <c r="M559" s="204"/>
    </row>
    <row r="560" spans="8:13" x14ac:dyDescent="0.25">
      <c r="H560" s="203"/>
      <c r="I560" s="203"/>
      <c r="J560" s="203"/>
      <c r="K560" s="203"/>
      <c r="L560" s="203"/>
      <c r="M560" s="204"/>
    </row>
    <row r="561" spans="8:13" x14ac:dyDescent="0.25">
      <c r="H561" s="203"/>
      <c r="I561" s="203"/>
      <c r="J561" s="203"/>
      <c r="K561" s="203"/>
      <c r="L561" s="203"/>
      <c r="M561" s="204"/>
    </row>
    <row r="562" spans="8:13" x14ac:dyDescent="0.25">
      <c r="H562" s="203"/>
      <c r="I562" s="203"/>
      <c r="J562" s="203"/>
      <c r="K562" s="203"/>
      <c r="L562" s="203"/>
      <c r="M562" s="204"/>
    </row>
    <row r="563" spans="8:13" x14ac:dyDescent="0.25">
      <c r="H563" s="203"/>
      <c r="I563" s="203"/>
      <c r="J563" s="203"/>
      <c r="K563" s="203"/>
      <c r="L563" s="203"/>
      <c r="M563" s="204"/>
    </row>
    <row r="564" spans="8:13" x14ac:dyDescent="0.25">
      <c r="H564" s="203"/>
      <c r="I564" s="203"/>
      <c r="J564" s="203"/>
      <c r="K564" s="203"/>
      <c r="L564" s="203"/>
      <c r="M564" s="204"/>
    </row>
    <row r="565" spans="8:13" x14ac:dyDescent="0.25">
      <c r="H565" s="203"/>
      <c r="I565" s="203"/>
      <c r="J565" s="203"/>
      <c r="K565" s="203"/>
      <c r="L565" s="203"/>
      <c r="M565" s="204"/>
    </row>
  </sheetData>
  <mergeCells count="8">
    <mergeCell ref="J4:K4"/>
    <mergeCell ref="I3:L3"/>
    <mergeCell ref="C4:C5"/>
    <mergeCell ref="A2:H2"/>
    <mergeCell ref="A4:A5"/>
    <mergeCell ref="B4:B5"/>
    <mergeCell ref="D4:D5"/>
    <mergeCell ref="E4:H4"/>
  </mergeCells>
  <pageMargins left="0.39370078740157483" right="0" top="0" bottom="0" header="0" footer="0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view="pageBreakPreview" zoomScale="55" zoomScaleNormal="55" zoomScaleSheetLayoutView="55" workbookViewId="0">
      <pane ySplit="5" topLeftCell="A82" activePane="bottomLeft" state="frozen"/>
      <selection pane="bottomLeft" activeCell="P33" sqref="P33"/>
    </sheetView>
  </sheetViews>
  <sheetFormatPr defaultRowHeight="15.75" outlineLevelRow="1" x14ac:dyDescent="0.25"/>
  <cols>
    <col min="1" max="1" width="65.5703125" style="260" customWidth="1"/>
    <col min="2" max="2" width="17" style="260" customWidth="1"/>
    <col min="3" max="3" width="18.85546875" style="261" customWidth="1"/>
    <col min="4" max="4" width="19.140625" style="261" customWidth="1"/>
    <col min="5" max="6" width="24.28515625" style="260" customWidth="1"/>
    <col min="7" max="7" width="27.42578125" style="260" customWidth="1"/>
    <col min="8" max="8" width="14.28515625" style="260" customWidth="1"/>
    <col min="9" max="9" width="18.42578125" style="260" customWidth="1"/>
    <col min="10" max="10" width="20.7109375" style="260" customWidth="1"/>
    <col min="11" max="11" width="18.7109375" style="260" hidden="1" customWidth="1"/>
    <col min="12" max="12" width="9.140625" style="260"/>
    <col min="13" max="13" width="16.5703125" style="260" bestFit="1" customWidth="1"/>
    <col min="14" max="16384" width="9.140625" style="260"/>
  </cols>
  <sheetData>
    <row r="1" spans="1:11" x14ac:dyDescent="0.25">
      <c r="I1" s="262"/>
      <c r="J1" s="262"/>
      <c r="K1" s="262"/>
    </row>
    <row r="2" spans="1:11" ht="42.75" customHeight="1" x14ac:dyDescent="0.25">
      <c r="A2" s="342" t="s">
        <v>260</v>
      </c>
      <c r="B2" s="343"/>
      <c r="C2" s="343"/>
      <c r="D2" s="343"/>
      <c r="E2" s="343"/>
      <c r="F2" s="343"/>
      <c r="G2" s="343"/>
      <c r="H2" s="343"/>
      <c r="I2" s="262"/>
      <c r="J2" s="262"/>
      <c r="K2" s="262"/>
    </row>
    <row r="3" spans="1:11" ht="46.5" customHeight="1" thickBot="1" x14ac:dyDescent="0.3">
      <c r="A3" s="263" t="s">
        <v>151</v>
      </c>
      <c r="I3" s="262"/>
      <c r="J3" s="262"/>
      <c r="K3" s="262"/>
    </row>
    <row r="4" spans="1:11" ht="31.5" customHeight="1" thickBot="1" x14ac:dyDescent="0.3">
      <c r="A4" s="344" t="s">
        <v>0</v>
      </c>
      <c r="B4" s="344" t="s">
        <v>1</v>
      </c>
      <c r="C4" s="345" t="s">
        <v>157</v>
      </c>
      <c r="D4" s="345" t="s">
        <v>158</v>
      </c>
      <c r="E4" s="346" t="s">
        <v>78</v>
      </c>
      <c r="F4" s="347"/>
      <c r="G4" s="347"/>
      <c r="H4" s="347"/>
      <c r="I4" s="339">
        <v>2023</v>
      </c>
      <c r="J4" s="340"/>
      <c r="K4" s="341"/>
    </row>
    <row r="5" spans="1:11" ht="126.75" customHeight="1" x14ac:dyDescent="0.25">
      <c r="A5" s="344"/>
      <c r="B5" s="344"/>
      <c r="C5" s="345"/>
      <c r="D5" s="345"/>
      <c r="E5" s="289" t="s">
        <v>269</v>
      </c>
      <c r="F5" s="289" t="s">
        <v>270</v>
      </c>
      <c r="G5" s="289" t="s">
        <v>271</v>
      </c>
      <c r="H5" s="291" t="s">
        <v>42</v>
      </c>
      <c r="I5" s="264" t="s">
        <v>237</v>
      </c>
      <c r="J5" s="337">
        <v>1101</v>
      </c>
      <c r="K5" s="338"/>
    </row>
    <row r="6" spans="1:11" ht="24" customHeight="1" x14ac:dyDescent="0.25">
      <c r="A6" s="265">
        <v>1</v>
      </c>
      <c r="B6" s="265">
        <v>2</v>
      </c>
      <c r="C6" s="290">
        <v>3</v>
      </c>
      <c r="D6" s="290">
        <v>4</v>
      </c>
      <c r="E6" s="265">
        <v>5</v>
      </c>
      <c r="F6" s="265">
        <v>6</v>
      </c>
      <c r="G6" s="265">
        <v>7</v>
      </c>
      <c r="H6" s="266">
        <v>8</v>
      </c>
      <c r="I6" s="267"/>
      <c r="J6" s="268"/>
      <c r="K6" s="269" t="s">
        <v>227</v>
      </c>
    </row>
    <row r="7" spans="1:11" ht="36.75" customHeight="1" x14ac:dyDescent="0.25">
      <c r="A7" s="289" t="s">
        <v>43</v>
      </c>
      <c r="B7" s="289" t="s">
        <v>45</v>
      </c>
      <c r="C7" s="290" t="s">
        <v>6</v>
      </c>
      <c r="D7" s="290" t="s">
        <v>6</v>
      </c>
      <c r="E7" s="289">
        <f t="shared" ref="E7:K7" si="0">E33-E9</f>
        <v>0</v>
      </c>
      <c r="F7" s="289">
        <f>F33-F9</f>
        <v>0</v>
      </c>
      <c r="G7" s="289">
        <f>G33-G9</f>
        <v>0</v>
      </c>
      <c r="H7" s="289">
        <f t="shared" si="0"/>
        <v>0</v>
      </c>
      <c r="I7" s="289">
        <f t="shared" si="0"/>
        <v>0</v>
      </c>
      <c r="J7" s="289">
        <f t="shared" si="0"/>
        <v>0</v>
      </c>
      <c r="K7" s="289">
        <f t="shared" si="0"/>
        <v>0</v>
      </c>
    </row>
    <row r="8" spans="1:11" ht="28.5" customHeight="1" x14ac:dyDescent="0.25">
      <c r="A8" s="289" t="s">
        <v>44</v>
      </c>
      <c r="B8" s="289" t="s">
        <v>46</v>
      </c>
      <c r="C8" s="290" t="s">
        <v>6</v>
      </c>
      <c r="D8" s="290" t="s">
        <v>6</v>
      </c>
      <c r="E8" s="289"/>
      <c r="F8" s="289"/>
      <c r="G8" s="289"/>
      <c r="H8" s="291"/>
      <c r="I8" s="267"/>
      <c r="J8" s="268"/>
      <c r="K8" s="269"/>
    </row>
    <row r="9" spans="1:11" ht="37.5" customHeight="1" x14ac:dyDescent="0.25">
      <c r="A9" s="270" t="s">
        <v>48</v>
      </c>
      <c r="B9" s="289" t="s">
        <v>49</v>
      </c>
      <c r="C9" s="290"/>
      <c r="D9" s="290"/>
      <c r="E9" s="270">
        <f>E11+E13+E17+E19+E21+E27</f>
        <v>16078879</v>
      </c>
      <c r="F9" s="270">
        <f t="shared" ref="F9:K9" si="1">F11+F13+F17+F19+F21+F27</f>
        <v>24441200</v>
      </c>
      <c r="G9" s="270">
        <f>G11+G13+G17+G19+G21+G27</f>
        <v>31155600</v>
      </c>
      <c r="H9" s="271">
        <f t="shared" si="1"/>
        <v>0</v>
      </c>
      <c r="I9" s="272">
        <f t="shared" si="1"/>
        <v>14900</v>
      </c>
      <c r="J9" s="270">
        <f t="shared" si="1"/>
        <v>16063979</v>
      </c>
      <c r="K9" s="273">
        <f t="shared" si="1"/>
        <v>0</v>
      </c>
    </row>
    <row r="10" spans="1:11" ht="19.5" customHeight="1" x14ac:dyDescent="0.25">
      <c r="A10" s="259" t="s">
        <v>23</v>
      </c>
      <c r="B10" s="289"/>
      <c r="C10" s="290"/>
      <c r="D10" s="290"/>
      <c r="E10" s="289"/>
      <c r="F10" s="289"/>
      <c r="G10" s="289"/>
      <c r="H10" s="291"/>
      <c r="I10" s="267"/>
      <c r="J10" s="268"/>
      <c r="K10" s="269"/>
    </row>
    <row r="11" spans="1:11" ht="28.5" customHeight="1" x14ac:dyDescent="0.25">
      <c r="A11" s="274" t="s">
        <v>50</v>
      </c>
      <c r="B11" s="289" t="s">
        <v>51</v>
      </c>
      <c r="C11" s="290">
        <v>120</v>
      </c>
      <c r="D11" s="290"/>
      <c r="E11" s="270"/>
      <c r="F11" s="270"/>
      <c r="G11" s="270"/>
      <c r="H11" s="271"/>
      <c r="I11" s="267"/>
      <c r="J11" s="268"/>
      <c r="K11" s="269"/>
    </row>
    <row r="12" spans="1:11" ht="15.75" customHeight="1" x14ac:dyDescent="0.25">
      <c r="A12" s="259" t="s">
        <v>23</v>
      </c>
      <c r="B12" s="289" t="s">
        <v>52</v>
      </c>
      <c r="C12" s="290"/>
      <c r="D12" s="290"/>
      <c r="E12" s="270"/>
      <c r="F12" s="270"/>
      <c r="G12" s="270"/>
      <c r="H12" s="271"/>
      <c r="I12" s="267"/>
      <c r="J12" s="268"/>
      <c r="K12" s="269"/>
    </row>
    <row r="13" spans="1:11" ht="42.75" customHeight="1" x14ac:dyDescent="0.25">
      <c r="A13" s="274" t="s">
        <v>53</v>
      </c>
      <c r="B13" s="289" t="s">
        <v>54</v>
      </c>
      <c r="C13" s="290">
        <v>130</v>
      </c>
      <c r="D13" s="290"/>
      <c r="E13" s="270">
        <f>E15+E16</f>
        <v>0</v>
      </c>
      <c r="F13" s="270">
        <f t="shared" ref="F13:J13" si="2">F15+F16</f>
        <v>0</v>
      </c>
      <c r="G13" s="270">
        <f t="shared" si="2"/>
        <v>0</v>
      </c>
      <c r="H13" s="271">
        <f t="shared" si="2"/>
        <v>0</v>
      </c>
      <c r="I13" s="272">
        <f t="shared" si="2"/>
        <v>0</v>
      </c>
      <c r="J13" s="270">
        <f t="shared" si="2"/>
        <v>0</v>
      </c>
      <c r="K13" s="273">
        <f>K15+K16</f>
        <v>0</v>
      </c>
    </row>
    <row r="14" spans="1:11" ht="31.5" hidden="1" customHeight="1" x14ac:dyDescent="0.25">
      <c r="A14" s="259" t="s">
        <v>55</v>
      </c>
      <c r="B14" s="289"/>
      <c r="C14" s="290"/>
      <c r="D14" s="290"/>
      <c r="E14" s="270"/>
      <c r="F14" s="270"/>
      <c r="G14" s="270"/>
      <c r="H14" s="271"/>
      <c r="I14" s="267"/>
      <c r="J14" s="268"/>
      <c r="K14" s="269"/>
    </row>
    <row r="15" spans="1:11" ht="38.25" hidden="1" customHeight="1" x14ac:dyDescent="0.25">
      <c r="A15" s="259" t="s">
        <v>56</v>
      </c>
      <c r="B15" s="289" t="s">
        <v>58</v>
      </c>
      <c r="C15" s="290">
        <v>131</v>
      </c>
      <c r="D15" s="290"/>
      <c r="E15" s="289"/>
      <c r="F15" s="268"/>
      <c r="G15" s="289"/>
      <c r="H15" s="291"/>
      <c r="I15" s="267"/>
      <c r="J15" s="268"/>
      <c r="K15" s="269"/>
    </row>
    <row r="16" spans="1:11" ht="58.5" hidden="1" customHeight="1" x14ac:dyDescent="0.25">
      <c r="A16" s="259" t="s">
        <v>57</v>
      </c>
      <c r="B16" s="289" t="s">
        <v>59</v>
      </c>
      <c r="C16" s="290">
        <v>131</v>
      </c>
      <c r="D16" s="290"/>
      <c r="E16" s="289"/>
      <c r="F16" s="268"/>
      <c r="G16" s="289"/>
      <c r="H16" s="291"/>
      <c r="I16" s="267"/>
      <c r="J16" s="268"/>
      <c r="K16" s="269"/>
    </row>
    <row r="17" spans="1:11" ht="39" customHeight="1" x14ac:dyDescent="0.25">
      <c r="A17" s="274" t="s">
        <v>60</v>
      </c>
      <c r="B17" s="289" t="s">
        <v>61</v>
      </c>
      <c r="C17" s="290">
        <v>140</v>
      </c>
      <c r="D17" s="290"/>
      <c r="E17" s="268"/>
      <c r="F17" s="268"/>
      <c r="G17" s="289"/>
      <c r="H17" s="291"/>
      <c r="I17" s="267"/>
      <c r="J17" s="268"/>
      <c r="K17" s="269"/>
    </row>
    <row r="18" spans="1:11" ht="14.25" customHeight="1" x14ac:dyDescent="0.25">
      <c r="A18" s="259" t="s">
        <v>55</v>
      </c>
      <c r="B18" s="289" t="s">
        <v>63</v>
      </c>
      <c r="C18" s="290">
        <v>140</v>
      </c>
      <c r="D18" s="290"/>
      <c r="E18" s="268"/>
      <c r="F18" s="268"/>
      <c r="G18" s="289"/>
      <c r="H18" s="291"/>
      <c r="I18" s="267"/>
      <c r="J18" s="268"/>
      <c r="K18" s="269"/>
    </row>
    <row r="19" spans="1:11" ht="39" customHeight="1" x14ac:dyDescent="0.25">
      <c r="A19" s="274" t="s">
        <v>73</v>
      </c>
      <c r="B19" s="289" t="s">
        <v>64</v>
      </c>
      <c r="C19" s="290">
        <v>150</v>
      </c>
      <c r="D19" s="290"/>
      <c r="E19" s="268"/>
      <c r="F19" s="268"/>
      <c r="G19" s="289"/>
      <c r="H19" s="291"/>
      <c r="I19" s="267"/>
      <c r="J19" s="268"/>
      <c r="K19" s="269"/>
    </row>
    <row r="20" spans="1:11" ht="14.25" customHeight="1" x14ac:dyDescent="0.25">
      <c r="A20" s="259" t="s">
        <v>23</v>
      </c>
      <c r="B20" s="289"/>
      <c r="C20" s="290"/>
      <c r="D20" s="290"/>
      <c r="E20" s="268"/>
      <c r="F20" s="268"/>
      <c r="G20" s="289"/>
      <c r="H20" s="291"/>
      <c r="I20" s="267"/>
      <c r="J20" s="268"/>
      <c r="K20" s="269"/>
    </row>
    <row r="21" spans="1:11" ht="39" customHeight="1" x14ac:dyDescent="0.25">
      <c r="A21" s="274" t="s">
        <v>74</v>
      </c>
      <c r="B21" s="289" t="s">
        <v>65</v>
      </c>
      <c r="C21" s="290">
        <v>180</v>
      </c>
      <c r="D21" s="290"/>
      <c r="E21" s="275">
        <f>E23+E24</f>
        <v>16078879</v>
      </c>
      <c r="F21" s="275">
        <f>F23+F24</f>
        <v>24441200</v>
      </c>
      <c r="G21" s="275">
        <f>G23+G24</f>
        <v>31155600</v>
      </c>
      <c r="H21" s="276">
        <f t="shared" ref="H21:I21" si="3">H23+H24</f>
        <v>0</v>
      </c>
      <c r="I21" s="277">
        <f t="shared" si="3"/>
        <v>14900</v>
      </c>
      <c r="J21" s="275">
        <f>J23+J24</f>
        <v>16063979</v>
      </c>
      <c r="K21" s="275">
        <f t="shared" ref="K21" si="4">K23+K24</f>
        <v>0</v>
      </c>
    </row>
    <row r="22" spans="1:11" ht="15.75" customHeight="1" x14ac:dyDescent="0.25">
      <c r="A22" s="259" t="s">
        <v>55</v>
      </c>
      <c r="B22" s="289"/>
      <c r="C22" s="290"/>
      <c r="D22" s="290"/>
      <c r="E22" s="268"/>
      <c r="F22" s="268"/>
      <c r="G22" s="289"/>
      <c r="H22" s="291"/>
      <c r="I22" s="267"/>
      <c r="J22" s="268"/>
      <c r="K22" s="269"/>
    </row>
    <row r="23" spans="1:11" ht="33" customHeight="1" x14ac:dyDescent="0.25">
      <c r="A23" s="259" t="s">
        <v>62</v>
      </c>
      <c r="B23" s="289" t="s">
        <v>66</v>
      </c>
      <c r="C23" s="290" t="s">
        <v>153</v>
      </c>
      <c r="D23" s="290"/>
      <c r="E23" s="268">
        <f>I23+J23+K23</f>
        <v>16078879</v>
      </c>
      <c r="F23" s="268">
        <v>24441200</v>
      </c>
      <c r="G23" s="289">
        <v>31155600</v>
      </c>
      <c r="H23" s="291"/>
      <c r="I23" s="267">
        <v>14900</v>
      </c>
      <c r="J23" s="268">
        <f>17147800-500000-653800+100000-30000-21</f>
        <v>16063979</v>
      </c>
      <c r="K23" s="268"/>
    </row>
    <row r="24" spans="1:11" ht="33" hidden="1" customHeight="1" x14ac:dyDescent="0.25">
      <c r="A24" s="259" t="s">
        <v>215</v>
      </c>
      <c r="B24" s="289" t="s">
        <v>66</v>
      </c>
      <c r="C24" s="290">
        <v>180</v>
      </c>
      <c r="D24" s="290"/>
      <c r="E24" s="268"/>
      <c r="F24" s="268"/>
      <c r="G24" s="289"/>
      <c r="H24" s="291"/>
      <c r="I24" s="267"/>
      <c r="J24" s="268"/>
      <c r="K24" s="269"/>
    </row>
    <row r="25" spans="1:11" ht="31.5" hidden="1" customHeight="1" x14ac:dyDescent="0.25">
      <c r="A25" s="259" t="s">
        <v>3</v>
      </c>
      <c r="B25" s="289" t="s">
        <v>67</v>
      </c>
      <c r="C25" s="290">
        <v>180</v>
      </c>
      <c r="D25" s="290"/>
      <c r="E25" s="268"/>
      <c r="F25" s="268"/>
      <c r="G25" s="289"/>
      <c r="H25" s="291"/>
      <c r="I25" s="267"/>
      <c r="J25" s="268"/>
      <c r="K25" s="269"/>
    </row>
    <row r="26" spans="1:11" ht="20.25" hidden="1" customHeight="1" x14ac:dyDescent="0.25">
      <c r="A26" s="259"/>
      <c r="B26" s="289"/>
      <c r="C26" s="290"/>
      <c r="D26" s="290"/>
      <c r="E26" s="268"/>
      <c r="F26" s="268"/>
      <c r="G26" s="289"/>
      <c r="H26" s="291"/>
      <c r="I26" s="267"/>
      <c r="J26" s="268"/>
      <c r="K26" s="269"/>
    </row>
    <row r="27" spans="1:11" ht="39" customHeight="1" x14ac:dyDescent="0.25">
      <c r="A27" s="274" t="s">
        <v>75</v>
      </c>
      <c r="B27" s="289" t="s">
        <v>68</v>
      </c>
      <c r="C27" s="290"/>
      <c r="D27" s="290"/>
      <c r="E27" s="275">
        <f>E29+E30</f>
        <v>0</v>
      </c>
      <c r="F27" s="275">
        <f t="shared" ref="F27:K27" si="5">F29+F30</f>
        <v>0</v>
      </c>
      <c r="G27" s="275">
        <f t="shared" si="5"/>
        <v>0</v>
      </c>
      <c r="H27" s="276">
        <f t="shared" si="5"/>
        <v>0</v>
      </c>
      <c r="I27" s="277">
        <f t="shared" si="5"/>
        <v>0</v>
      </c>
      <c r="J27" s="275">
        <f t="shared" si="5"/>
        <v>0</v>
      </c>
      <c r="K27" s="278">
        <f t="shared" si="5"/>
        <v>0</v>
      </c>
    </row>
    <row r="28" spans="1:11" ht="18.75" customHeight="1" x14ac:dyDescent="0.25">
      <c r="A28" s="259" t="s">
        <v>55</v>
      </c>
      <c r="B28" s="289"/>
      <c r="C28" s="290"/>
      <c r="D28" s="290"/>
      <c r="E28" s="268"/>
      <c r="F28" s="268"/>
      <c r="G28" s="289"/>
      <c r="H28" s="291"/>
      <c r="I28" s="267"/>
      <c r="J28" s="268"/>
      <c r="K28" s="269"/>
    </row>
    <row r="29" spans="1:11" ht="18" hidden="1" customHeight="1" x14ac:dyDescent="0.25">
      <c r="A29" s="259"/>
      <c r="B29" s="289"/>
      <c r="C29" s="290"/>
      <c r="D29" s="290"/>
      <c r="E29" s="268"/>
      <c r="F29" s="268"/>
      <c r="G29" s="289"/>
      <c r="H29" s="291"/>
      <c r="I29" s="267"/>
      <c r="J29" s="268"/>
      <c r="K29" s="269"/>
    </row>
    <row r="30" spans="1:11" ht="30.75" customHeight="1" x14ac:dyDescent="0.25">
      <c r="A30" s="274" t="s">
        <v>69</v>
      </c>
      <c r="B30" s="289" t="s">
        <v>71</v>
      </c>
      <c r="C30" s="290" t="s">
        <v>47</v>
      </c>
      <c r="D30" s="290"/>
      <c r="E30" s="268">
        <f>E32</f>
        <v>0</v>
      </c>
      <c r="F30" s="268">
        <f t="shared" ref="F30:J30" si="6">F32</f>
        <v>0</v>
      </c>
      <c r="G30" s="268">
        <f t="shared" si="6"/>
        <v>0</v>
      </c>
      <c r="H30" s="279">
        <f t="shared" si="6"/>
        <v>0</v>
      </c>
      <c r="I30" s="267">
        <f t="shared" si="6"/>
        <v>0</v>
      </c>
      <c r="J30" s="268">
        <f t="shared" si="6"/>
        <v>0</v>
      </c>
      <c r="K30" s="269">
        <f>K32</f>
        <v>0</v>
      </c>
    </row>
    <row r="31" spans="1:11" ht="15" customHeight="1" x14ac:dyDescent="0.25">
      <c r="A31" s="274" t="s">
        <v>5</v>
      </c>
      <c r="B31" s="289"/>
      <c r="C31" s="290"/>
      <c r="D31" s="290"/>
      <c r="E31" s="268"/>
      <c r="F31" s="268"/>
      <c r="G31" s="289"/>
      <c r="H31" s="291"/>
      <c r="I31" s="267"/>
      <c r="J31" s="268"/>
      <c r="K31" s="269"/>
    </row>
    <row r="32" spans="1:11" ht="48.75" customHeight="1" x14ac:dyDescent="0.25">
      <c r="A32" s="259" t="s">
        <v>70</v>
      </c>
      <c r="B32" s="289" t="s">
        <v>72</v>
      </c>
      <c r="C32" s="290">
        <v>510</v>
      </c>
      <c r="D32" s="290"/>
      <c r="E32" s="268"/>
      <c r="F32" s="268"/>
      <c r="G32" s="289"/>
      <c r="H32" s="291"/>
      <c r="I32" s="267"/>
      <c r="J32" s="268"/>
      <c r="K32" s="269"/>
    </row>
    <row r="33" spans="1:11" ht="42.75" customHeight="1" x14ac:dyDescent="0.25">
      <c r="A33" s="270" t="s">
        <v>79</v>
      </c>
      <c r="B33" s="289" t="s">
        <v>80</v>
      </c>
      <c r="C33" s="290" t="s">
        <v>4</v>
      </c>
      <c r="D33" s="290"/>
      <c r="E33" s="270">
        <f>E34+E58</f>
        <v>16078879</v>
      </c>
      <c r="F33" s="270">
        <f>F34+F58</f>
        <v>24441200</v>
      </c>
      <c r="G33" s="270">
        <f>G34+G58</f>
        <v>31155600</v>
      </c>
      <c r="H33" s="270">
        <f t="shared" ref="H33" si="7">H34+H58</f>
        <v>0</v>
      </c>
      <c r="I33" s="272">
        <f>I36+I39+I45+I48+I52+I54+I58</f>
        <v>14900</v>
      </c>
      <c r="J33" s="270">
        <f>J36+J39+J45+J48+J52+J54+J58</f>
        <v>16063979</v>
      </c>
      <c r="K33" s="270">
        <f t="shared" ref="K33" si="8">K36+K39+K45+K48+K52+K54+K58</f>
        <v>0</v>
      </c>
    </row>
    <row r="34" spans="1:11" ht="37.5" customHeight="1" x14ac:dyDescent="0.25">
      <c r="A34" s="259" t="s">
        <v>81</v>
      </c>
      <c r="B34" s="289" t="s">
        <v>82</v>
      </c>
      <c r="C34" s="280" t="s">
        <v>47</v>
      </c>
      <c r="D34" s="290"/>
      <c r="E34" s="289">
        <f>E36+E39+E45+E48+E52</f>
        <v>8733713</v>
      </c>
      <c r="F34" s="289">
        <f t="shared" ref="F34:G34" si="9">F36+F39+F45+F48+F52</f>
        <v>15058400</v>
      </c>
      <c r="G34" s="289">
        <f t="shared" si="9"/>
        <v>17036000</v>
      </c>
      <c r="H34" s="289">
        <f t="shared" ref="H34" si="10">H36+H39+H45+H48</f>
        <v>0</v>
      </c>
      <c r="I34" s="267"/>
      <c r="J34" s="268"/>
      <c r="K34" s="269"/>
    </row>
    <row r="35" spans="1:11" ht="17.25" customHeight="1" x14ac:dyDescent="0.25">
      <c r="A35" s="259" t="s">
        <v>55</v>
      </c>
      <c r="B35" s="289"/>
      <c r="C35" s="280"/>
      <c r="D35" s="290"/>
      <c r="E35" s="289"/>
      <c r="F35" s="289"/>
      <c r="G35" s="289"/>
      <c r="H35" s="291"/>
      <c r="I35" s="267"/>
      <c r="J35" s="268"/>
      <c r="K35" s="269"/>
    </row>
    <row r="36" spans="1:11" ht="46.5" customHeight="1" x14ac:dyDescent="0.25">
      <c r="A36" s="274" t="s">
        <v>7</v>
      </c>
      <c r="B36" s="289" t="s">
        <v>83</v>
      </c>
      <c r="C36" s="280">
        <v>111</v>
      </c>
      <c r="D36" s="290"/>
      <c r="E36" s="289">
        <f>E37+E38</f>
        <v>0</v>
      </c>
      <c r="F36" s="289">
        <f>E36</f>
        <v>0</v>
      </c>
      <c r="G36" s="289">
        <f>G37+G38</f>
        <v>0</v>
      </c>
      <c r="H36" s="291">
        <f t="shared" ref="H36:K36" si="11">H37+H38</f>
        <v>0</v>
      </c>
      <c r="I36" s="281">
        <f t="shared" si="11"/>
        <v>0</v>
      </c>
      <c r="J36" s="289">
        <f t="shared" si="11"/>
        <v>0</v>
      </c>
      <c r="K36" s="282">
        <f t="shared" si="11"/>
        <v>0</v>
      </c>
    </row>
    <row r="37" spans="1:11" ht="42.75" hidden="1" customHeight="1" outlineLevel="1" x14ac:dyDescent="0.25">
      <c r="A37" s="259"/>
      <c r="B37" s="289"/>
      <c r="C37" s="280">
        <v>111</v>
      </c>
      <c r="D37" s="290" t="s">
        <v>97</v>
      </c>
      <c r="E37" s="289"/>
      <c r="F37" s="289">
        <f t="shared" ref="F37:F38" si="12">E37</f>
        <v>0</v>
      </c>
      <c r="G37" s="289"/>
      <c r="H37" s="291"/>
      <c r="I37" s="267"/>
      <c r="J37" s="268"/>
      <c r="K37" s="269"/>
    </row>
    <row r="38" spans="1:11" ht="43.5" hidden="1" customHeight="1" outlineLevel="1" x14ac:dyDescent="0.25">
      <c r="A38" s="259"/>
      <c r="B38" s="289"/>
      <c r="C38" s="280">
        <v>111</v>
      </c>
      <c r="D38" s="290" t="s">
        <v>96</v>
      </c>
      <c r="E38" s="289"/>
      <c r="F38" s="289">
        <f t="shared" si="12"/>
        <v>0</v>
      </c>
      <c r="G38" s="289"/>
      <c r="H38" s="291"/>
      <c r="I38" s="267"/>
      <c r="J38" s="268"/>
      <c r="K38" s="269"/>
    </row>
    <row r="39" spans="1:11" ht="70.5" customHeight="1" collapsed="1" x14ac:dyDescent="0.25">
      <c r="A39" s="274" t="s">
        <v>84</v>
      </c>
      <c r="B39" s="289" t="s">
        <v>85</v>
      </c>
      <c r="C39" s="280">
        <v>112</v>
      </c>
      <c r="D39" s="290"/>
      <c r="E39" s="289">
        <f>E40+E41+E42+E43+E44</f>
        <v>3205400</v>
      </c>
      <c r="F39" s="289">
        <f>F40+F41+F42+F43+F44</f>
        <v>5193752.6500000004</v>
      </c>
      <c r="G39" s="289">
        <f>G40+G41+G42+G43+G44</f>
        <v>6647805.2999999998</v>
      </c>
      <c r="H39" s="291">
        <f t="shared" ref="H39:I39" si="13">H40+H41+H42+H43+H44</f>
        <v>0</v>
      </c>
      <c r="I39" s="281">
        <f t="shared" si="13"/>
        <v>0</v>
      </c>
      <c r="J39" s="289">
        <f>J40+J41+J42+J43+J44</f>
        <v>3205400</v>
      </c>
      <c r="K39" s="289">
        <f t="shared" ref="K39" si="14">K40+K41+K42+K43+K44</f>
        <v>0</v>
      </c>
    </row>
    <row r="40" spans="1:11" ht="36" customHeight="1" outlineLevel="1" x14ac:dyDescent="0.25">
      <c r="A40" s="259" t="s">
        <v>253</v>
      </c>
      <c r="B40" s="289"/>
      <c r="C40" s="280">
        <v>112</v>
      </c>
      <c r="D40" s="290">
        <v>212</v>
      </c>
      <c r="E40" s="289">
        <f>I40+J40+K40</f>
        <v>85300</v>
      </c>
      <c r="F40" s="289">
        <v>109705.25</v>
      </c>
      <c r="G40" s="289">
        <v>121494.75</v>
      </c>
      <c r="H40" s="291"/>
      <c r="I40" s="267"/>
      <c r="J40" s="268">
        <v>85300</v>
      </c>
      <c r="K40" s="269"/>
    </row>
    <row r="41" spans="1:11" ht="39.75" customHeight="1" outlineLevel="1" x14ac:dyDescent="0.25">
      <c r="A41" s="259" t="s">
        <v>254</v>
      </c>
      <c r="B41" s="289"/>
      <c r="C41" s="280">
        <v>112</v>
      </c>
      <c r="D41" s="290" t="s">
        <v>95</v>
      </c>
      <c r="E41" s="289">
        <f>I41+J41+K41</f>
        <v>1805000</v>
      </c>
      <c r="F41" s="289">
        <v>2381315.7999999998</v>
      </c>
      <c r="G41" s="289">
        <v>2476210.5499999998</v>
      </c>
      <c r="H41" s="291"/>
      <c r="I41" s="267"/>
      <c r="J41" s="268">
        <f>2255000-500000+45000+5000</f>
        <v>1805000</v>
      </c>
      <c r="K41" s="269"/>
    </row>
    <row r="42" spans="1:11" ht="33" customHeight="1" outlineLevel="1" x14ac:dyDescent="0.25">
      <c r="A42" s="259" t="s">
        <v>9</v>
      </c>
      <c r="B42" s="289"/>
      <c r="C42" s="280">
        <v>112</v>
      </c>
      <c r="D42" s="290" t="s">
        <v>94</v>
      </c>
      <c r="E42" s="289">
        <f>I42+J42+K42</f>
        <v>0</v>
      </c>
      <c r="F42" s="289">
        <f t="shared" ref="F42:G42" si="15">E42</f>
        <v>0</v>
      </c>
      <c r="G42" s="289">
        <f t="shared" si="15"/>
        <v>0</v>
      </c>
      <c r="H42" s="291"/>
      <c r="I42" s="267"/>
      <c r="J42" s="268"/>
      <c r="K42" s="269"/>
    </row>
    <row r="43" spans="1:11" ht="34.5" customHeight="1" outlineLevel="1" x14ac:dyDescent="0.25">
      <c r="A43" s="259" t="s">
        <v>255</v>
      </c>
      <c r="B43" s="289"/>
      <c r="C43" s="280">
        <v>112</v>
      </c>
      <c r="D43" s="290">
        <v>226</v>
      </c>
      <c r="E43" s="289">
        <f>I43+J43+K43</f>
        <v>1315100</v>
      </c>
      <c r="F43" s="289">
        <v>2701931.6</v>
      </c>
      <c r="G43" s="289">
        <v>4049300</v>
      </c>
      <c r="H43" s="291"/>
      <c r="I43" s="267"/>
      <c r="J43" s="268">
        <f>1349300+800-35000</f>
        <v>1315100</v>
      </c>
      <c r="K43" s="269"/>
    </row>
    <row r="44" spans="1:11" ht="34.5" customHeight="1" outlineLevel="1" x14ac:dyDescent="0.25">
      <c r="A44" s="259" t="s">
        <v>256</v>
      </c>
      <c r="B44" s="289"/>
      <c r="C44" s="280" t="s">
        <v>265</v>
      </c>
      <c r="D44" s="290" t="s">
        <v>96</v>
      </c>
      <c r="E44" s="289">
        <f>I44+J44+K44</f>
        <v>0</v>
      </c>
      <c r="F44" s="289">
        <v>800</v>
      </c>
      <c r="G44" s="289">
        <v>800</v>
      </c>
      <c r="H44" s="291"/>
      <c r="I44" s="267"/>
      <c r="J44" s="268">
        <f>800-800</f>
        <v>0</v>
      </c>
      <c r="K44" s="269"/>
    </row>
    <row r="45" spans="1:11" ht="81.75" customHeight="1" x14ac:dyDescent="0.25">
      <c r="A45" s="274" t="s">
        <v>86</v>
      </c>
      <c r="B45" s="289" t="s">
        <v>87</v>
      </c>
      <c r="C45" s="280">
        <v>113</v>
      </c>
      <c r="D45" s="290"/>
      <c r="E45" s="289">
        <f>E46+E47</f>
        <v>5528313</v>
      </c>
      <c r="F45" s="289">
        <f>F46+F47</f>
        <v>9864647.3499999996</v>
      </c>
      <c r="G45" s="289">
        <f>G46+G47</f>
        <v>10388194.699999999</v>
      </c>
      <c r="H45" s="291">
        <f t="shared" ref="H45:K45" si="16">H46+H47</f>
        <v>0</v>
      </c>
      <c r="I45" s="281">
        <f t="shared" si="16"/>
        <v>0</v>
      </c>
      <c r="J45" s="289">
        <f>J46+J47</f>
        <v>5528313</v>
      </c>
      <c r="K45" s="289">
        <f t="shared" si="16"/>
        <v>0</v>
      </c>
    </row>
    <row r="46" spans="1:11" ht="44.25" customHeight="1" outlineLevel="1" x14ac:dyDescent="0.25">
      <c r="A46" s="259"/>
      <c r="B46" s="289"/>
      <c r="C46" s="280">
        <v>113</v>
      </c>
      <c r="D46" s="290" t="s">
        <v>98</v>
      </c>
      <c r="E46" s="289">
        <f>I46+J46+K46</f>
        <v>0</v>
      </c>
      <c r="F46" s="289">
        <f>E46</f>
        <v>0</v>
      </c>
      <c r="G46" s="289">
        <f>F46</f>
        <v>0</v>
      </c>
      <c r="H46" s="291"/>
      <c r="I46" s="267"/>
      <c r="J46" s="268"/>
      <c r="K46" s="269"/>
    </row>
    <row r="47" spans="1:11" ht="44.25" customHeight="1" outlineLevel="1" x14ac:dyDescent="0.25">
      <c r="A47" s="259" t="s">
        <v>255</v>
      </c>
      <c r="B47" s="289"/>
      <c r="C47" s="280">
        <v>113</v>
      </c>
      <c r="D47" s="290" t="s">
        <v>99</v>
      </c>
      <c r="E47" s="289">
        <f>I47+J47+K47</f>
        <v>5528313</v>
      </c>
      <c r="F47" s="289">
        <v>9864647.3499999996</v>
      </c>
      <c r="G47" s="289">
        <v>10388194.699999999</v>
      </c>
      <c r="H47" s="291"/>
      <c r="I47" s="267"/>
      <c r="J47" s="268">
        <f>6292000-60000-457660-246000-27</f>
        <v>5528313</v>
      </c>
      <c r="K47" s="269"/>
    </row>
    <row r="48" spans="1:11" ht="59.25" customHeight="1" x14ac:dyDescent="0.25">
      <c r="A48" s="274" t="s">
        <v>88</v>
      </c>
      <c r="B48" s="289" t="s">
        <v>89</v>
      </c>
      <c r="C48" s="280">
        <v>119</v>
      </c>
      <c r="D48" s="290"/>
      <c r="E48" s="289">
        <f>E50+E51</f>
        <v>0</v>
      </c>
      <c r="F48" s="289">
        <f>E48</f>
        <v>0</v>
      </c>
      <c r="G48" s="289">
        <f>F48</f>
        <v>0</v>
      </c>
      <c r="H48" s="291">
        <f t="shared" ref="H48:I48" si="17">H50+H51</f>
        <v>0</v>
      </c>
      <c r="I48" s="281">
        <f t="shared" si="17"/>
        <v>0</v>
      </c>
      <c r="J48" s="289">
        <f>J50+J51</f>
        <v>0</v>
      </c>
      <c r="K48" s="289">
        <f t="shared" ref="K48" si="18">K50+K51</f>
        <v>0</v>
      </c>
    </row>
    <row r="49" spans="1:11" ht="25.5" customHeight="1" x14ac:dyDescent="0.25">
      <c r="A49" s="259" t="s">
        <v>2</v>
      </c>
      <c r="B49" s="289"/>
      <c r="C49" s="280"/>
      <c r="D49" s="290"/>
      <c r="E49" s="289"/>
      <c r="F49" s="289"/>
      <c r="G49" s="289"/>
      <c r="H49" s="291"/>
      <c r="I49" s="267"/>
      <c r="J49" s="268"/>
      <c r="K49" s="269"/>
    </row>
    <row r="50" spans="1:11" ht="44.25" hidden="1" customHeight="1" x14ac:dyDescent="0.25">
      <c r="A50" s="259" t="s">
        <v>91</v>
      </c>
      <c r="B50" s="289" t="s">
        <v>92</v>
      </c>
      <c r="C50" s="280">
        <v>119</v>
      </c>
      <c r="D50" s="290" t="s">
        <v>100</v>
      </c>
      <c r="E50" s="289">
        <f>E51</f>
        <v>0</v>
      </c>
      <c r="F50" s="289">
        <f t="shared" ref="F50:G50" si="19">F51</f>
        <v>0</v>
      </c>
      <c r="G50" s="289">
        <f t="shared" si="19"/>
        <v>0</v>
      </c>
      <c r="H50" s="291"/>
      <c r="I50" s="267"/>
      <c r="J50" s="268"/>
      <c r="K50" s="269"/>
    </row>
    <row r="51" spans="1:11" ht="40.5" hidden="1" customHeight="1" x14ac:dyDescent="0.25">
      <c r="A51" s="259" t="s">
        <v>90</v>
      </c>
      <c r="B51" s="289" t="s">
        <v>93</v>
      </c>
      <c r="C51" s="280">
        <v>119</v>
      </c>
      <c r="D51" s="290"/>
      <c r="E51" s="289"/>
      <c r="F51" s="289"/>
      <c r="G51" s="289"/>
      <c r="H51" s="291"/>
      <c r="I51" s="267"/>
      <c r="J51" s="268"/>
      <c r="K51" s="269"/>
    </row>
    <row r="52" spans="1:11" ht="45" customHeight="1" x14ac:dyDescent="0.25">
      <c r="A52" s="274" t="s">
        <v>101</v>
      </c>
      <c r="B52" s="270" t="s">
        <v>102</v>
      </c>
      <c r="C52" s="280">
        <v>300</v>
      </c>
      <c r="D52" s="290"/>
      <c r="E52" s="289">
        <f>E53</f>
        <v>0</v>
      </c>
      <c r="F52" s="289">
        <f t="shared" ref="F52:G52" si="20">F53</f>
        <v>0</v>
      </c>
      <c r="G52" s="289">
        <f t="shared" si="20"/>
        <v>0</v>
      </c>
      <c r="H52" s="291">
        <f t="shared" ref="H52:K52" si="21">H53</f>
        <v>0</v>
      </c>
      <c r="I52" s="281">
        <f t="shared" si="21"/>
        <v>0</v>
      </c>
      <c r="J52" s="289">
        <f t="shared" si="21"/>
        <v>0</v>
      </c>
      <c r="K52" s="282">
        <f t="shared" si="21"/>
        <v>0</v>
      </c>
    </row>
    <row r="53" spans="1:11" ht="42" customHeight="1" x14ac:dyDescent="0.25">
      <c r="A53" s="259" t="s">
        <v>103</v>
      </c>
      <c r="B53" s="289" t="s">
        <v>104</v>
      </c>
      <c r="C53" s="280">
        <v>321</v>
      </c>
      <c r="D53" s="290" t="s">
        <v>268</v>
      </c>
      <c r="E53" s="289">
        <f>I53+J53+K53</f>
        <v>0</v>
      </c>
      <c r="F53" s="289">
        <f>E53</f>
        <v>0</v>
      </c>
      <c r="G53" s="289">
        <f>F53</f>
        <v>0</v>
      </c>
      <c r="H53" s="291"/>
      <c r="I53" s="267"/>
      <c r="J53" s="268"/>
      <c r="K53" s="269"/>
    </row>
    <row r="54" spans="1:11" ht="43.5" hidden="1" customHeight="1" x14ac:dyDescent="0.25">
      <c r="A54" s="259" t="s">
        <v>106</v>
      </c>
      <c r="B54" s="289" t="s">
        <v>107</v>
      </c>
      <c r="C54" s="280">
        <v>850</v>
      </c>
      <c r="D54" s="290"/>
      <c r="E54" s="289">
        <f>E55+E56+E57</f>
        <v>0</v>
      </c>
      <c r="F54" s="289">
        <f t="shared" ref="F54" si="22">F55+F56+F57</f>
        <v>0</v>
      </c>
      <c r="G54" s="289">
        <f>G55+G56+G57</f>
        <v>0</v>
      </c>
      <c r="H54" s="291">
        <f t="shared" ref="H54:K54" si="23">H55+H56+H57</f>
        <v>0</v>
      </c>
      <c r="I54" s="281">
        <f t="shared" si="23"/>
        <v>0</v>
      </c>
      <c r="J54" s="289">
        <f t="shared" si="23"/>
        <v>0</v>
      </c>
      <c r="K54" s="282">
        <f t="shared" si="23"/>
        <v>0</v>
      </c>
    </row>
    <row r="55" spans="1:11" ht="63" hidden="1" customHeight="1" x14ac:dyDescent="0.25">
      <c r="A55" s="259" t="s">
        <v>108</v>
      </c>
      <c r="B55" s="289" t="s">
        <v>109</v>
      </c>
      <c r="C55" s="280">
        <v>851</v>
      </c>
      <c r="D55" s="290" t="s">
        <v>114</v>
      </c>
      <c r="E55" s="289"/>
      <c r="F55" s="289"/>
      <c r="G55" s="289"/>
      <c r="H55" s="291"/>
      <c r="I55" s="267"/>
      <c r="J55" s="268"/>
      <c r="K55" s="269"/>
    </row>
    <row r="56" spans="1:11" ht="68.25" hidden="1" customHeight="1" x14ac:dyDescent="0.25">
      <c r="A56" s="259" t="s">
        <v>110</v>
      </c>
      <c r="B56" s="289" t="s">
        <v>111</v>
      </c>
      <c r="C56" s="280">
        <v>852</v>
      </c>
      <c r="D56" s="290" t="s">
        <v>114</v>
      </c>
      <c r="E56" s="289"/>
      <c r="F56" s="289"/>
      <c r="G56" s="289"/>
      <c r="H56" s="291"/>
      <c r="I56" s="267"/>
      <c r="J56" s="268"/>
      <c r="K56" s="269"/>
    </row>
    <row r="57" spans="1:11" ht="37.5" hidden="1" customHeight="1" x14ac:dyDescent="0.25">
      <c r="A57" s="259" t="s">
        <v>112</v>
      </c>
      <c r="B57" s="289" t="s">
        <v>113</v>
      </c>
      <c r="C57" s="280">
        <v>853</v>
      </c>
      <c r="D57" s="290"/>
      <c r="E57" s="289"/>
      <c r="F57" s="289"/>
      <c r="G57" s="289"/>
      <c r="H57" s="291"/>
      <c r="I57" s="267"/>
      <c r="J57" s="268"/>
      <c r="K57" s="269"/>
    </row>
    <row r="58" spans="1:11" ht="39.75" customHeight="1" x14ac:dyDescent="0.25">
      <c r="A58" s="274" t="s">
        <v>24</v>
      </c>
      <c r="B58" s="289" t="s">
        <v>116</v>
      </c>
      <c r="C58" s="280" t="s">
        <v>47</v>
      </c>
      <c r="D58" s="290"/>
      <c r="E58" s="289">
        <f>E59</f>
        <v>7345166</v>
      </c>
      <c r="F58" s="289">
        <f>F59</f>
        <v>9382800.0000000019</v>
      </c>
      <c r="G58" s="289">
        <f>G59</f>
        <v>14119600</v>
      </c>
      <c r="H58" s="291">
        <f t="shared" ref="H58" si="24">H59</f>
        <v>0</v>
      </c>
      <c r="I58" s="281">
        <f>I59</f>
        <v>14900</v>
      </c>
      <c r="J58" s="289">
        <f>J59</f>
        <v>7330266</v>
      </c>
      <c r="K58" s="289">
        <f t="shared" ref="K58" si="25">K59</f>
        <v>0</v>
      </c>
    </row>
    <row r="59" spans="1:11" ht="44.25" customHeight="1" x14ac:dyDescent="0.25">
      <c r="A59" s="274" t="s">
        <v>117</v>
      </c>
      <c r="B59" s="289" t="s">
        <v>115</v>
      </c>
      <c r="C59" s="280">
        <v>244</v>
      </c>
      <c r="D59" s="290"/>
      <c r="E59" s="289">
        <f>E61+E62+E63+E64+E65+E66+E67+E68+E69+E70+E71+E72+E73+E74+E76+E75</f>
        <v>7345166</v>
      </c>
      <c r="F59" s="289">
        <f t="shared" ref="F59" si="26">F61+F62+F63+F64+F65+F66+F67+F68+F69+F70+F71+F72+F73+F74+F76+F75</f>
        <v>9382800.0000000019</v>
      </c>
      <c r="G59" s="289">
        <f>G61+G62+G63+G64+G65+G66+G67+G68+G69+G70+G71+G72+G73+G74+G76+G75</f>
        <v>14119600</v>
      </c>
      <c r="H59" s="291">
        <f t="shared" ref="H59" si="27">H61+H62+H63+H64+H65+H66+H67+H68+H69+H70+H71+H72+H73+H74+H76+H75</f>
        <v>0</v>
      </c>
      <c r="I59" s="281">
        <f>I61+I62+I63+I64+I65+I66+I67+I68+I69+I70+I71+I72+I73+I74+I76+I75</f>
        <v>14900</v>
      </c>
      <c r="J59" s="289">
        <f>J61+J62+J63+J64+J65+J66+J67+J68+J69+J70+J71+J72+J73+J74+J76+J75</f>
        <v>7330266</v>
      </c>
      <c r="K59" s="289">
        <f t="shared" ref="K59" si="28">K61+K62+K63+K64+K65+K66+K67+K68+K69+K70+K71+K72+K73+K74+K76+K75</f>
        <v>0</v>
      </c>
    </row>
    <row r="60" spans="1:11" ht="21" customHeight="1" x14ac:dyDescent="0.25">
      <c r="A60" s="259" t="s">
        <v>131</v>
      </c>
      <c r="B60" s="289"/>
      <c r="C60" s="290"/>
      <c r="D60" s="290"/>
      <c r="E60" s="270"/>
      <c r="F60" s="270"/>
      <c r="G60" s="270"/>
      <c r="H60" s="271"/>
      <c r="I60" s="267"/>
      <c r="J60" s="268"/>
      <c r="K60" s="269"/>
    </row>
    <row r="61" spans="1:11" ht="32.25" customHeight="1" outlineLevel="1" x14ac:dyDescent="0.25">
      <c r="A61" s="259" t="s">
        <v>8</v>
      </c>
      <c r="B61" s="289"/>
      <c r="C61" s="280">
        <v>244</v>
      </c>
      <c r="D61" s="290" t="s">
        <v>118</v>
      </c>
      <c r="E61" s="289">
        <f t="shared" ref="E61:E79" si="29">I61+J61+K61</f>
        <v>0</v>
      </c>
      <c r="F61" s="289">
        <f>E61</f>
        <v>0</v>
      </c>
      <c r="G61" s="289">
        <f>F61</f>
        <v>0</v>
      </c>
      <c r="H61" s="291"/>
      <c r="I61" s="267"/>
      <c r="J61" s="268"/>
      <c r="K61" s="269"/>
    </row>
    <row r="62" spans="1:11" ht="37.5" customHeight="1" outlineLevel="1" x14ac:dyDescent="0.25">
      <c r="A62" s="259" t="s">
        <v>9</v>
      </c>
      <c r="B62" s="289"/>
      <c r="C62" s="280">
        <v>244</v>
      </c>
      <c r="D62" s="290" t="s">
        <v>94</v>
      </c>
      <c r="E62" s="289">
        <f t="shared" si="29"/>
        <v>0</v>
      </c>
      <c r="F62" s="289">
        <f t="shared" ref="F62:G62" si="30">E62</f>
        <v>0</v>
      </c>
      <c r="G62" s="289">
        <f t="shared" si="30"/>
        <v>0</v>
      </c>
      <c r="H62" s="291"/>
      <c r="I62" s="267"/>
      <c r="J62" s="268"/>
      <c r="K62" s="269"/>
    </row>
    <row r="63" spans="1:11" ht="41.25" customHeight="1" outlineLevel="1" x14ac:dyDescent="0.25">
      <c r="A63" s="259" t="s">
        <v>10</v>
      </c>
      <c r="B63" s="289"/>
      <c r="C63" s="280">
        <v>244</v>
      </c>
      <c r="D63" s="290" t="s">
        <v>119</v>
      </c>
      <c r="E63" s="289">
        <f t="shared" si="29"/>
        <v>0</v>
      </c>
      <c r="F63" s="289">
        <f t="shared" ref="F63:G63" si="31">E63</f>
        <v>0</v>
      </c>
      <c r="G63" s="289">
        <f t="shared" si="31"/>
        <v>0</v>
      </c>
      <c r="H63" s="291"/>
      <c r="I63" s="267"/>
      <c r="J63" s="268"/>
      <c r="K63" s="269"/>
    </row>
    <row r="64" spans="1:11" ht="28.5" customHeight="1" outlineLevel="1" x14ac:dyDescent="0.25">
      <c r="A64" s="259" t="s">
        <v>22</v>
      </c>
      <c r="B64" s="289"/>
      <c r="C64" s="280">
        <v>244</v>
      </c>
      <c r="D64" s="290" t="s">
        <v>120</v>
      </c>
      <c r="E64" s="289">
        <f t="shared" si="29"/>
        <v>0</v>
      </c>
      <c r="F64" s="289">
        <f t="shared" ref="F64:G64" si="32">E64</f>
        <v>0</v>
      </c>
      <c r="G64" s="289">
        <f t="shared" si="32"/>
        <v>0</v>
      </c>
      <c r="H64" s="291"/>
      <c r="I64" s="267"/>
      <c r="J64" s="268"/>
      <c r="K64" s="269"/>
    </row>
    <row r="65" spans="1:11" ht="24" customHeight="1" outlineLevel="1" x14ac:dyDescent="0.25">
      <c r="A65" s="259" t="s">
        <v>11</v>
      </c>
      <c r="B65" s="289"/>
      <c r="C65" s="280">
        <v>244</v>
      </c>
      <c r="D65" s="290" t="s">
        <v>121</v>
      </c>
      <c r="E65" s="289">
        <f t="shared" si="29"/>
        <v>50000</v>
      </c>
      <c r="F65" s="289">
        <v>0</v>
      </c>
      <c r="G65" s="289">
        <v>0</v>
      </c>
      <c r="H65" s="291"/>
      <c r="I65" s="267"/>
      <c r="J65" s="268">
        <f>200000-150000</f>
        <v>50000</v>
      </c>
      <c r="K65" s="269"/>
    </row>
    <row r="66" spans="1:11" ht="19.5" customHeight="1" outlineLevel="1" x14ac:dyDescent="0.25">
      <c r="A66" s="259" t="s">
        <v>12</v>
      </c>
      <c r="B66" s="289"/>
      <c r="C66" s="280">
        <v>244</v>
      </c>
      <c r="D66" s="290" t="s">
        <v>99</v>
      </c>
      <c r="E66" s="289">
        <f t="shared" si="29"/>
        <v>585345.39</v>
      </c>
      <c r="F66" s="289">
        <v>0</v>
      </c>
      <c r="G66" s="289">
        <v>0</v>
      </c>
      <c r="H66" s="291"/>
      <c r="I66" s="267">
        <v>14900</v>
      </c>
      <c r="J66" s="268">
        <f>150000+60000+246000+17500+85330+11615.39</f>
        <v>570445.39</v>
      </c>
      <c r="K66" s="269"/>
    </row>
    <row r="67" spans="1:11" ht="22.5" customHeight="1" outlineLevel="1" x14ac:dyDescent="0.25">
      <c r="A67" s="259" t="s">
        <v>30</v>
      </c>
      <c r="B67" s="289"/>
      <c r="C67" s="280">
        <v>244</v>
      </c>
      <c r="D67" s="290" t="s">
        <v>122</v>
      </c>
      <c r="E67" s="289">
        <f t="shared" si="29"/>
        <v>0</v>
      </c>
      <c r="F67" s="289">
        <f t="shared" ref="F67:G67" si="33">E67</f>
        <v>0</v>
      </c>
      <c r="G67" s="289">
        <f t="shared" si="33"/>
        <v>0</v>
      </c>
      <c r="H67" s="291"/>
      <c r="I67" s="267"/>
      <c r="J67" s="268"/>
      <c r="K67" s="269"/>
    </row>
    <row r="68" spans="1:11" ht="22.5" customHeight="1" outlineLevel="1" x14ac:dyDescent="0.25">
      <c r="A68" s="259" t="s">
        <v>31</v>
      </c>
      <c r="B68" s="289"/>
      <c r="C68" s="280">
        <v>244</v>
      </c>
      <c r="D68" s="290" t="s">
        <v>123</v>
      </c>
      <c r="E68" s="289">
        <f t="shared" si="29"/>
        <v>60947.9</v>
      </c>
      <c r="F68" s="289">
        <v>142105.25</v>
      </c>
      <c r="G68" s="289">
        <v>142105.25</v>
      </c>
      <c r="H68" s="291"/>
      <c r="I68" s="267"/>
      <c r="J68" s="268">
        <f>30000+30947.9</f>
        <v>60947.9</v>
      </c>
      <c r="K68" s="269"/>
    </row>
    <row r="69" spans="1:11" ht="18.75" customHeight="1" outlineLevel="1" x14ac:dyDescent="0.25">
      <c r="A69" s="259" t="s">
        <v>13</v>
      </c>
      <c r="B69" s="289"/>
      <c r="C69" s="280">
        <v>244</v>
      </c>
      <c r="D69" s="290" t="s">
        <v>124</v>
      </c>
      <c r="E69" s="289">
        <f t="shared" si="29"/>
        <v>3578592.71</v>
      </c>
      <c r="F69" s="289">
        <v>5526315.8000000007</v>
      </c>
      <c r="G69" s="289">
        <v>8158157.9000000004</v>
      </c>
      <c r="H69" s="271"/>
      <c r="I69" s="267"/>
      <c r="J69" s="268">
        <f>3950000-196140-300000-11157.9+6756+150000-20865.39</f>
        <v>3578592.71</v>
      </c>
      <c r="K69" s="269"/>
    </row>
    <row r="70" spans="1:11" ht="39.75" customHeight="1" outlineLevel="1" x14ac:dyDescent="0.25">
      <c r="A70" s="259" t="s">
        <v>32</v>
      </c>
      <c r="B70" s="289"/>
      <c r="C70" s="280">
        <v>244</v>
      </c>
      <c r="D70" s="290" t="s">
        <v>125</v>
      </c>
      <c r="E70" s="289">
        <f t="shared" si="29"/>
        <v>0</v>
      </c>
      <c r="F70" s="289">
        <f t="shared" ref="F70:G70" si="34">E70</f>
        <v>0</v>
      </c>
      <c r="G70" s="289">
        <f t="shared" si="34"/>
        <v>0</v>
      </c>
      <c r="H70" s="291"/>
      <c r="I70" s="267"/>
      <c r="J70" s="268"/>
      <c r="K70" s="269"/>
    </row>
    <row r="71" spans="1:11" ht="30.75" customHeight="1" outlineLevel="1" x14ac:dyDescent="0.25">
      <c r="A71" s="259" t="s">
        <v>25</v>
      </c>
      <c r="B71" s="289"/>
      <c r="C71" s="280">
        <v>244</v>
      </c>
      <c r="D71" s="290" t="s">
        <v>126</v>
      </c>
      <c r="E71" s="289">
        <f t="shared" si="29"/>
        <v>8000</v>
      </c>
      <c r="F71" s="289">
        <v>8000</v>
      </c>
      <c r="G71" s="289">
        <v>8000</v>
      </c>
      <c r="H71" s="291"/>
      <c r="I71" s="267"/>
      <c r="J71" s="268">
        <v>8000</v>
      </c>
      <c r="K71" s="269"/>
    </row>
    <row r="72" spans="1:11" ht="40.5" customHeight="1" outlineLevel="1" x14ac:dyDescent="0.25">
      <c r="A72" s="259" t="s">
        <v>26</v>
      </c>
      <c r="B72" s="289"/>
      <c r="C72" s="280">
        <v>244</v>
      </c>
      <c r="D72" s="290" t="s">
        <v>127</v>
      </c>
      <c r="E72" s="289">
        <f t="shared" si="29"/>
        <v>0</v>
      </c>
      <c r="F72" s="289">
        <f>E72</f>
        <v>0</v>
      </c>
      <c r="G72" s="289">
        <f>F72</f>
        <v>0</v>
      </c>
      <c r="H72" s="291"/>
      <c r="I72" s="267"/>
      <c r="J72" s="268"/>
      <c r="K72" s="269"/>
    </row>
    <row r="73" spans="1:11" ht="37.5" customHeight="1" outlineLevel="1" x14ac:dyDescent="0.25">
      <c r="A73" s="259" t="s">
        <v>27</v>
      </c>
      <c r="B73" s="289"/>
      <c r="C73" s="280">
        <v>244</v>
      </c>
      <c r="D73" s="290" t="s">
        <v>128</v>
      </c>
      <c r="E73" s="289">
        <f t="shared" si="29"/>
        <v>2036689.11</v>
      </c>
      <c r="F73" s="289">
        <v>2365263.15</v>
      </c>
      <c r="G73" s="289">
        <v>3684210.55</v>
      </c>
      <c r="H73" s="291"/>
      <c r="I73" s="267"/>
      <c r="J73" s="268">
        <f>1206842.1+380000+449841.01+6</f>
        <v>2036689.11</v>
      </c>
      <c r="K73" s="269"/>
    </row>
    <row r="74" spans="1:11" ht="40.5" customHeight="1" outlineLevel="1" x14ac:dyDescent="0.25">
      <c r="A74" s="259" t="s">
        <v>28</v>
      </c>
      <c r="B74" s="289"/>
      <c r="C74" s="280">
        <v>244</v>
      </c>
      <c r="D74" s="290" t="s">
        <v>129</v>
      </c>
      <c r="E74" s="289">
        <f t="shared" si="29"/>
        <v>863910.8899999999</v>
      </c>
      <c r="F74" s="289">
        <v>1055852.6499999999</v>
      </c>
      <c r="G74" s="289">
        <v>1841863.15</v>
      </c>
      <c r="H74" s="291"/>
      <c r="I74" s="267"/>
      <c r="J74" s="268">
        <f>1385257.9-80000-456597.01+6000+9250</f>
        <v>863910.8899999999</v>
      </c>
      <c r="K74" s="269"/>
    </row>
    <row r="75" spans="1:11" ht="40.5" customHeight="1" outlineLevel="1" x14ac:dyDescent="0.25">
      <c r="A75" s="259" t="s">
        <v>208</v>
      </c>
      <c r="B75" s="289"/>
      <c r="C75" s="280">
        <v>244</v>
      </c>
      <c r="D75" s="290" t="s">
        <v>207</v>
      </c>
      <c r="E75" s="289">
        <f t="shared" si="29"/>
        <v>59610</v>
      </c>
      <c r="F75" s="289">
        <v>285263.15000000002</v>
      </c>
      <c r="G75" s="289">
        <v>285263.15000000002</v>
      </c>
      <c r="H75" s="291"/>
      <c r="I75" s="267"/>
      <c r="J75" s="268">
        <f>96900-37290</f>
        <v>59610</v>
      </c>
      <c r="K75" s="269"/>
    </row>
    <row r="76" spans="1:11" ht="42" customHeight="1" outlineLevel="1" x14ac:dyDescent="0.25">
      <c r="A76" s="259" t="s">
        <v>29</v>
      </c>
      <c r="B76" s="289"/>
      <c r="C76" s="280">
        <v>244</v>
      </c>
      <c r="D76" s="290" t="s">
        <v>130</v>
      </c>
      <c r="E76" s="289">
        <f t="shared" si="29"/>
        <v>102070</v>
      </c>
      <c r="F76" s="289">
        <v>0</v>
      </c>
      <c r="G76" s="289">
        <v>0</v>
      </c>
      <c r="H76" s="291"/>
      <c r="I76" s="267"/>
      <c r="J76" s="268">
        <f>138400+49000-85330</f>
        <v>102070</v>
      </c>
      <c r="K76" s="269"/>
    </row>
    <row r="77" spans="1:11" ht="45" customHeight="1" x14ac:dyDescent="0.25">
      <c r="A77" s="259" t="s">
        <v>132</v>
      </c>
      <c r="B77" s="289" t="s">
        <v>133</v>
      </c>
      <c r="C77" s="280">
        <v>400</v>
      </c>
      <c r="D77" s="290"/>
      <c r="E77" s="289">
        <f t="shared" si="29"/>
        <v>0</v>
      </c>
      <c r="F77" s="289">
        <f>E77</f>
        <v>0</v>
      </c>
      <c r="G77" s="289">
        <f>F77</f>
        <v>0</v>
      </c>
      <c r="H77" s="291"/>
      <c r="I77" s="267"/>
      <c r="J77" s="268"/>
      <c r="K77" s="269"/>
    </row>
    <row r="78" spans="1:11" ht="38.25" customHeight="1" x14ac:dyDescent="0.25">
      <c r="A78" s="259" t="s">
        <v>135</v>
      </c>
      <c r="B78" s="289" t="s">
        <v>134</v>
      </c>
      <c r="C78" s="280">
        <v>406</v>
      </c>
      <c r="D78" s="290"/>
      <c r="E78" s="289">
        <f t="shared" si="29"/>
        <v>0</v>
      </c>
      <c r="F78" s="289">
        <f t="shared" ref="F78:G79" si="35">E78</f>
        <v>0</v>
      </c>
      <c r="G78" s="289">
        <f t="shared" si="35"/>
        <v>0</v>
      </c>
      <c r="H78" s="291"/>
      <c r="I78" s="267"/>
      <c r="J78" s="268"/>
      <c r="K78" s="269"/>
    </row>
    <row r="79" spans="1:11" ht="30.75" customHeight="1" x14ac:dyDescent="0.25">
      <c r="A79" s="259" t="s">
        <v>136</v>
      </c>
      <c r="B79" s="289" t="s">
        <v>137</v>
      </c>
      <c r="C79" s="280">
        <v>407</v>
      </c>
      <c r="D79" s="290"/>
      <c r="E79" s="289">
        <f t="shared" si="29"/>
        <v>0</v>
      </c>
      <c r="F79" s="289">
        <f t="shared" si="35"/>
        <v>0</v>
      </c>
      <c r="G79" s="289">
        <f t="shared" si="35"/>
        <v>0</v>
      </c>
      <c r="H79" s="291"/>
      <c r="I79" s="267"/>
      <c r="J79" s="268"/>
      <c r="K79" s="269"/>
    </row>
    <row r="80" spans="1:11" ht="30.75" customHeight="1" x14ac:dyDescent="0.25">
      <c r="A80" s="259" t="s">
        <v>266</v>
      </c>
      <c r="B80" s="283">
        <v>2700</v>
      </c>
      <c r="C80" s="280" t="s">
        <v>267</v>
      </c>
      <c r="D80" s="290"/>
      <c r="E80" s="289"/>
      <c r="F80" s="289"/>
      <c r="G80" s="289"/>
      <c r="H80" s="291"/>
      <c r="I80" s="267"/>
      <c r="J80" s="268"/>
      <c r="K80" s="269"/>
    </row>
    <row r="81" spans="1:11" ht="28.5" customHeight="1" x14ac:dyDescent="0.25">
      <c r="A81" s="274" t="s">
        <v>138</v>
      </c>
      <c r="B81" s="289" t="s">
        <v>139</v>
      </c>
      <c r="C81" s="280">
        <v>100</v>
      </c>
      <c r="D81" s="290"/>
      <c r="E81" s="289"/>
      <c r="F81" s="289"/>
      <c r="G81" s="289"/>
      <c r="H81" s="291"/>
      <c r="I81" s="267"/>
      <c r="J81" s="268"/>
      <c r="K81" s="269"/>
    </row>
    <row r="82" spans="1:11" ht="18.75" customHeight="1" x14ac:dyDescent="0.25">
      <c r="A82" s="259" t="s">
        <v>140</v>
      </c>
      <c r="B82" s="289" t="s">
        <v>143</v>
      </c>
      <c r="C82" s="280"/>
      <c r="D82" s="290"/>
      <c r="E82" s="289"/>
      <c r="F82" s="289"/>
      <c r="G82" s="289"/>
      <c r="H82" s="291"/>
      <c r="I82" s="267"/>
      <c r="J82" s="268"/>
      <c r="K82" s="269"/>
    </row>
    <row r="83" spans="1:11" ht="29.25" customHeight="1" x14ac:dyDescent="0.25">
      <c r="A83" s="259" t="s">
        <v>141</v>
      </c>
      <c r="B83" s="289" t="s">
        <v>144</v>
      </c>
      <c r="C83" s="280"/>
      <c r="D83" s="290"/>
      <c r="E83" s="289"/>
      <c r="F83" s="289"/>
      <c r="G83" s="289"/>
      <c r="H83" s="291"/>
      <c r="I83" s="267"/>
      <c r="J83" s="268"/>
      <c r="K83" s="269"/>
    </row>
    <row r="84" spans="1:11" ht="21" customHeight="1" x14ac:dyDescent="0.25">
      <c r="A84" s="259" t="s">
        <v>142</v>
      </c>
      <c r="B84" s="289" t="s">
        <v>145</v>
      </c>
      <c r="C84" s="280"/>
      <c r="D84" s="290"/>
      <c r="E84" s="289"/>
      <c r="F84" s="289"/>
      <c r="G84" s="289"/>
      <c r="H84" s="291"/>
      <c r="I84" s="267"/>
      <c r="J84" s="268"/>
      <c r="K84" s="269"/>
    </row>
    <row r="85" spans="1:11" ht="21.75" customHeight="1" x14ac:dyDescent="0.25">
      <c r="A85" s="274" t="s">
        <v>146</v>
      </c>
      <c r="B85" s="289" t="s">
        <v>148</v>
      </c>
      <c r="C85" s="280" t="s">
        <v>47</v>
      </c>
      <c r="D85" s="290"/>
      <c r="E85" s="289"/>
      <c r="F85" s="289"/>
      <c r="G85" s="289"/>
      <c r="H85" s="291"/>
      <c r="I85" s="267"/>
      <c r="J85" s="268"/>
      <c r="K85" s="269"/>
    </row>
    <row r="86" spans="1:11" ht="27" customHeight="1" thickBot="1" x14ac:dyDescent="0.3">
      <c r="A86" s="259" t="s">
        <v>147</v>
      </c>
      <c r="B86" s="289" t="s">
        <v>149</v>
      </c>
      <c r="C86" s="280">
        <v>610</v>
      </c>
      <c r="D86" s="290"/>
      <c r="E86" s="289"/>
      <c r="F86" s="289"/>
      <c r="G86" s="289"/>
      <c r="H86" s="291"/>
      <c r="I86" s="284"/>
      <c r="J86" s="285"/>
      <c r="K86" s="286"/>
    </row>
  </sheetData>
  <autoFilter ref="A33:K86"/>
  <mergeCells count="8">
    <mergeCell ref="J5:K5"/>
    <mergeCell ref="I4:K4"/>
    <mergeCell ref="A2:H2"/>
    <mergeCell ref="A4:A5"/>
    <mergeCell ref="B4:B5"/>
    <mergeCell ref="C4:C5"/>
    <mergeCell ref="D4:D5"/>
    <mergeCell ref="E4:H4"/>
  </mergeCells>
  <pageMargins left="0.70866141732283472" right="0.70866141732283472" top="0.74803149606299213" bottom="0.74803149606299213" header="0.31496062992125984" footer="0.31496062992125984"/>
  <pageSetup paperSize="9" scale="41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view="pageBreakPreview" zoomScale="55" zoomScaleNormal="55" zoomScaleSheetLayoutView="55" workbookViewId="0">
      <pane ySplit="5" topLeftCell="A63" activePane="bottomLeft" state="frozen"/>
      <selection pane="bottomLeft" activeCell="A2" sqref="A2:H2"/>
    </sheetView>
  </sheetViews>
  <sheetFormatPr defaultRowHeight="18.75" outlineLevelRow="1" x14ac:dyDescent="0.25"/>
  <cols>
    <col min="1" max="1" width="65.5703125" style="201" customWidth="1"/>
    <col min="2" max="2" width="17" style="59" customWidth="1"/>
    <col min="3" max="3" width="18.85546875" style="201" customWidth="1"/>
    <col min="4" max="4" width="19.140625" style="59" customWidth="1"/>
    <col min="5" max="6" width="24.28515625" style="17" customWidth="1"/>
    <col min="7" max="7" width="27.42578125" style="17" customWidth="1"/>
    <col min="8" max="8" width="31.140625" style="17" customWidth="1"/>
    <col min="9" max="9" width="28.7109375" style="17" customWidth="1"/>
    <col min="10" max="10" width="20.7109375" style="17" customWidth="1"/>
    <col min="11" max="12" width="23.7109375" style="17" customWidth="1"/>
    <col min="13" max="13" width="21.140625" style="201" hidden="1" customWidth="1"/>
    <col min="14" max="14" width="19.28515625" style="201" hidden="1" customWidth="1"/>
    <col min="15" max="15" width="9.140625" style="201"/>
    <col min="16" max="16" width="16.85546875" style="201" bestFit="1" customWidth="1"/>
    <col min="17" max="16384" width="9.140625" style="201"/>
  </cols>
  <sheetData>
    <row r="1" spans="1:14" x14ac:dyDescent="0.25">
      <c r="M1" s="17"/>
      <c r="N1" s="17"/>
    </row>
    <row r="2" spans="1:14" ht="42.75" customHeight="1" x14ac:dyDescent="0.25">
      <c r="A2" s="334" t="s">
        <v>261</v>
      </c>
      <c r="B2" s="335"/>
      <c r="C2" s="335"/>
      <c r="D2" s="335"/>
      <c r="E2" s="335"/>
      <c r="F2" s="335"/>
      <c r="G2" s="335"/>
      <c r="H2" s="335"/>
      <c r="M2" s="17"/>
      <c r="N2" s="17"/>
    </row>
    <row r="3" spans="1:14" ht="32.25" customHeight="1" x14ac:dyDescent="0.25">
      <c r="A3" s="207" t="s">
        <v>152</v>
      </c>
      <c r="M3" s="17"/>
      <c r="N3" s="17"/>
    </row>
    <row r="4" spans="1:14" ht="31.5" customHeight="1" x14ac:dyDescent="0.25">
      <c r="A4" s="333" t="s">
        <v>0</v>
      </c>
      <c r="B4" s="336" t="s">
        <v>1</v>
      </c>
      <c r="C4" s="333" t="s">
        <v>157</v>
      </c>
      <c r="D4" s="336" t="s">
        <v>158</v>
      </c>
      <c r="E4" s="320" t="s">
        <v>78</v>
      </c>
      <c r="F4" s="321"/>
      <c r="G4" s="321"/>
      <c r="H4" s="322"/>
      <c r="M4" s="17"/>
      <c r="N4" s="17"/>
    </row>
    <row r="5" spans="1:14" ht="118.5" customHeight="1" x14ac:dyDescent="0.25">
      <c r="A5" s="333"/>
      <c r="B5" s="336"/>
      <c r="C5" s="333"/>
      <c r="D5" s="336"/>
      <c r="E5" s="16" t="s">
        <v>269</v>
      </c>
      <c r="F5" s="16" t="s">
        <v>270</v>
      </c>
      <c r="G5" s="16" t="s">
        <v>271</v>
      </c>
      <c r="H5" s="16" t="s">
        <v>42</v>
      </c>
      <c r="I5" s="248" t="s">
        <v>276</v>
      </c>
      <c r="J5" s="249" t="s">
        <v>277</v>
      </c>
      <c r="K5" s="250" t="s">
        <v>278</v>
      </c>
      <c r="L5" s="288" t="s">
        <v>283</v>
      </c>
      <c r="M5" s="331" t="s">
        <v>247</v>
      </c>
      <c r="N5" s="331"/>
    </row>
    <row r="6" spans="1:14" ht="24" customHeight="1" x14ac:dyDescent="0.25">
      <c r="A6" s="293">
        <v>1</v>
      </c>
      <c r="B6" s="294">
        <v>2</v>
      </c>
      <c r="C6" s="293">
        <v>3</v>
      </c>
      <c r="D6" s="294">
        <v>4</v>
      </c>
      <c r="E6" s="293">
        <v>5</v>
      </c>
      <c r="F6" s="293">
        <v>6</v>
      </c>
      <c r="G6" s="293">
        <v>7</v>
      </c>
      <c r="H6" s="293">
        <v>8</v>
      </c>
      <c r="I6" s="39" t="s">
        <v>161</v>
      </c>
      <c r="J6" s="39" t="s">
        <v>160</v>
      </c>
      <c r="K6" s="39" t="s">
        <v>162</v>
      </c>
      <c r="L6" s="39" t="s">
        <v>284</v>
      </c>
      <c r="M6" s="39" t="s">
        <v>160</v>
      </c>
      <c r="N6" s="39" t="s">
        <v>161</v>
      </c>
    </row>
    <row r="7" spans="1:14" ht="51.75" customHeight="1" x14ac:dyDescent="0.25">
      <c r="A7" s="293" t="s">
        <v>43</v>
      </c>
      <c r="B7" s="294" t="s">
        <v>45</v>
      </c>
      <c r="C7" s="293" t="s">
        <v>6</v>
      </c>
      <c r="D7" s="294" t="s">
        <v>6</v>
      </c>
      <c r="E7" s="16">
        <f>E39-E9</f>
        <v>376379.02000000048</v>
      </c>
      <c r="F7" s="16"/>
      <c r="G7" s="16"/>
      <c r="H7" s="16">
        <f t="shared" ref="H7" si="0">H39-H9</f>
        <v>0</v>
      </c>
      <c r="I7" s="16">
        <f>I39-I9</f>
        <v>116504.02000000002</v>
      </c>
      <c r="J7" s="16">
        <f>J39-J9</f>
        <v>47255.379999999888</v>
      </c>
      <c r="K7" s="16">
        <f>K39-K9</f>
        <v>212619.62</v>
      </c>
      <c r="L7" s="16"/>
      <c r="M7" s="39"/>
      <c r="N7" s="39"/>
    </row>
    <row r="8" spans="1:14" ht="50.25" customHeight="1" x14ac:dyDescent="0.25">
      <c r="A8" s="293" t="s">
        <v>44</v>
      </c>
      <c r="B8" s="294" t="s">
        <v>46</v>
      </c>
      <c r="C8" s="293" t="s">
        <v>6</v>
      </c>
      <c r="D8" s="294" t="s">
        <v>6</v>
      </c>
      <c r="E8" s="16"/>
      <c r="F8" s="16"/>
      <c r="G8" s="16"/>
      <c r="H8" s="16"/>
      <c r="I8" s="39"/>
      <c r="J8" s="39"/>
      <c r="K8" s="39"/>
      <c r="L8" s="39"/>
      <c r="M8" s="39"/>
      <c r="N8" s="39"/>
    </row>
    <row r="9" spans="1:14" ht="37.5" customHeight="1" x14ac:dyDescent="0.25">
      <c r="A9" s="211" t="s">
        <v>48</v>
      </c>
      <c r="B9" s="54" t="s">
        <v>49</v>
      </c>
      <c r="C9" s="212"/>
      <c r="D9" s="54"/>
      <c r="E9" s="32">
        <f>E11+E14+E23+E25+E29</f>
        <v>6787078.8600000003</v>
      </c>
      <c r="F9" s="32">
        <f>F11+F14+F23+F25+F29+F34</f>
        <v>2119795.7000000002</v>
      </c>
      <c r="G9" s="32">
        <f t="shared" ref="G9" si="1">G11+G14+G23+G25+G29+G34+G36+G28</f>
        <v>2119795.7000000002</v>
      </c>
      <c r="H9" s="32">
        <v>0</v>
      </c>
      <c r="I9" s="32">
        <f>I11+I14+I23+I25+I29+I34</f>
        <v>2670795.7000000002</v>
      </c>
      <c r="J9" s="32">
        <f>J11+J14+J23+J25+J29+J34+J28+J36</f>
        <v>3862033.16</v>
      </c>
      <c r="K9" s="32">
        <f>K11+K14+K23+K25+K29+K34+K28+K36</f>
        <v>0</v>
      </c>
      <c r="L9" s="32">
        <f>L11+L14+L23+L25+L29+L34+L28+L36</f>
        <v>254250</v>
      </c>
      <c r="M9" s="32">
        <f t="shared" ref="M9:N9" si="2">M11+M14+M23+M25+M29+M34</f>
        <v>0</v>
      </c>
      <c r="N9" s="32">
        <f t="shared" si="2"/>
        <v>0</v>
      </c>
    </row>
    <row r="10" spans="1:14" ht="19.5" customHeight="1" x14ac:dyDescent="0.25">
      <c r="A10" s="213" t="s">
        <v>23</v>
      </c>
      <c r="B10" s="294"/>
      <c r="C10" s="293"/>
      <c r="D10" s="294"/>
      <c r="E10" s="16"/>
      <c r="F10" s="16"/>
      <c r="G10" s="16"/>
      <c r="H10" s="16"/>
      <c r="I10" s="39"/>
      <c r="J10" s="39"/>
      <c r="K10" s="39"/>
      <c r="L10" s="39"/>
      <c r="M10" s="39"/>
      <c r="N10" s="39"/>
    </row>
    <row r="11" spans="1:14" ht="48.75" customHeight="1" x14ac:dyDescent="0.25">
      <c r="A11" s="214" t="s">
        <v>50</v>
      </c>
      <c r="B11" s="55" t="s">
        <v>51</v>
      </c>
      <c r="C11" s="215">
        <v>120</v>
      </c>
      <c r="D11" s="55"/>
      <c r="E11" s="37">
        <f>I11+J11+K11+L11</f>
        <v>358500</v>
      </c>
      <c r="F11" s="37">
        <f>F13</f>
        <v>0</v>
      </c>
      <c r="G11" s="37">
        <f>F11</f>
        <v>0</v>
      </c>
      <c r="H11" s="37">
        <v>0</v>
      </c>
      <c r="I11" s="37">
        <f>I13</f>
        <v>358500</v>
      </c>
      <c r="J11" s="37">
        <f t="shared" ref="J11:N11" si="3">J13</f>
        <v>0</v>
      </c>
      <c r="K11" s="37">
        <f t="shared" si="3"/>
        <v>0</v>
      </c>
      <c r="L11" s="37">
        <f>L13</f>
        <v>0</v>
      </c>
      <c r="M11" s="37">
        <f t="shared" si="3"/>
        <v>0</v>
      </c>
      <c r="N11" s="37">
        <f t="shared" si="3"/>
        <v>0</v>
      </c>
    </row>
    <row r="12" spans="1:14" ht="36" customHeight="1" x14ac:dyDescent="0.25">
      <c r="A12" s="213" t="s">
        <v>23</v>
      </c>
      <c r="B12" s="294"/>
      <c r="C12" s="217"/>
      <c r="D12" s="294"/>
      <c r="E12" s="15"/>
      <c r="F12" s="15"/>
      <c r="G12" s="15"/>
      <c r="H12" s="15"/>
      <c r="I12" s="39"/>
      <c r="J12" s="39"/>
      <c r="K12" s="39"/>
      <c r="L12" s="39"/>
      <c r="M12" s="39"/>
      <c r="N12" s="39"/>
    </row>
    <row r="13" spans="1:14" ht="36" customHeight="1" x14ac:dyDescent="0.25">
      <c r="A13" s="251" t="s">
        <v>249</v>
      </c>
      <c r="B13" s="252" t="s">
        <v>52</v>
      </c>
      <c r="C13" s="253">
        <v>121</v>
      </c>
      <c r="D13" s="252"/>
      <c r="E13" s="254">
        <f>I13+J13+K13+L13</f>
        <v>358500</v>
      </c>
      <c r="F13" s="254">
        <v>0</v>
      </c>
      <c r="G13" s="254">
        <f>F13</f>
        <v>0</v>
      </c>
      <c r="H13" s="254"/>
      <c r="I13" s="39">
        <v>358500</v>
      </c>
      <c r="J13" s="39"/>
      <c r="K13" s="39"/>
      <c r="L13" s="39"/>
      <c r="M13" s="39"/>
      <c r="N13" s="39"/>
    </row>
    <row r="14" spans="1:14" ht="52.5" customHeight="1" x14ac:dyDescent="0.25">
      <c r="A14" s="214" t="s">
        <v>53</v>
      </c>
      <c r="B14" s="55" t="s">
        <v>54</v>
      </c>
      <c r="C14" s="215">
        <v>130</v>
      </c>
      <c r="D14" s="55"/>
      <c r="E14" s="37">
        <f>E16+E18+E17+E19+E21+E20</f>
        <v>6428578.8600000003</v>
      </c>
      <c r="F14" s="37">
        <f>F15+F16+F17+F18+F19+F20+F21</f>
        <v>2119795.7000000002</v>
      </c>
      <c r="G14" s="37">
        <f>F14</f>
        <v>2119795.7000000002</v>
      </c>
      <c r="H14" s="37">
        <f t="shared" ref="H14" si="4">H16+H18+H17+H19+H21</f>
        <v>0</v>
      </c>
      <c r="I14" s="37">
        <f>I16+I18+I17+I19+I21</f>
        <v>2312295.7000000002</v>
      </c>
      <c r="J14" s="37">
        <f>J16+J18+J17+J19+J21</f>
        <v>3862033.16</v>
      </c>
      <c r="K14" s="37">
        <f t="shared" ref="K14" si="5">K16+K18+K17+K19+K21</f>
        <v>0</v>
      </c>
      <c r="L14" s="37">
        <f>L16+L18+L17+L19+L21+L20</f>
        <v>254250</v>
      </c>
      <c r="M14" s="37">
        <f t="shared" ref="M14:N14" si="6">M16+M17+M18+M21</f>
        <v>0</v>
      </c>
      <c r="N14" s="37">
        <f t="shared" si="6"/>
        <v>0</v>
      </c>
    </row>
    <row r="15" spans="1:14" ht="31.5" customHeight="1" x14ac:dyDescent="0.25">
      <c r="A15" s="213" t="s">
        <v>55</v>
      </c>
      <c r="B15" s="294"/>
      <c r="C15" s="217"/>
      <c r="D15" s="294"/>
      <c r="E15" s="15"/>
      <c r="F15" s="15"/>
      <c r="G15" s="15"/>
      <c r="H15" s="15"/>
      <c r="I15" s="39"/>
      <c r="J15" s="39"/>
      <c r="K15" s="39"/>
      <c r="L15" s="39"/>
      <c r="M15" s="39"/>
      <c r="N15" s="39"/>
    </row>
    <row r="16" spans="1:14" ht="38.25" customHeight="1" x14ac:dyDescent="0.25">
      <c r="A16" s="226" t="s">
        <v>56</v>
      </c>
      <c r="B16" s="294" t="s">
        <v>58</v>
      </c>
      <c r="C16" s="217">
        <v>131</v>
      </c>
      <c r="D16" s="294"/>
      <c r="E16" s="16"/>
      <c r="F16" s="16"/>
      <c r="G16" s="16"/>
      <c r="H16" s="16"/>
      <c r="I16" s="39"/>
      <c r="J16" s="39"/>
      <c r="K16" s="39"/>
      <c r="L16" s="39"/>
      <c r="M16" s="39"/>
      <c r="N16" s="39"/>
    </row>
    <row r="17" spans="1:16" ht="76.5" customHeight="1" x14ac:dyDescent="0.25">
      <c r="A17" s="226" t="s">
        <v>57</v>
      </c>
      <c r="B17" s="294" t="s">
        <v>59</v>
      </c>
      <c r="C17" s="217">
        <v>131</v>
      </c>
      <c r="D17" s="294"/>
      <c r="E17" s="16"/>
      <c r="F17" s="39"/>
      <c r="G17" s="16"/>
      <c r="H17" s="16"/>
      <c r="I17" s="39"/>
      <c r="J17" s="39"/>
      <c r="K17" s="39"/>
      <c r="L17" s="39"/>
      <c r="M17" s="39"/>
      <c r="N17" s="39"/>
    </row>
    <row r="18" spans="1:16" ht="35.25" customHeight="1" x14ac:dyDescent="0.25">
      <c r="A18" s="255" t="s">
        <v>250</v>
      </c>
      <c r="B18" s="252" t="s">
        <v>163</v>
      </c>
      <c r="C18" s="253">
        <v>131</v>
      </c>
      <c r="D18" s="252"/>
      <c r="E18" s="256">
        <f>I18+J18+K18+L18</f>
        <v>2051000</v>
      </c>
      <c r="F18" s="256">
        <v>1500000</v>
      </c>
      <c r="G18" s="256">
        <f>F18</f>
        <v>1500000</v>
      </c>
      <c r="H18" s="256"/>
      <c r="I18" s="39">
        <f>1500000+551000</f>
        <v>2051000</v>
      </c>
      <c r="J18" s="39"/>
      <c r="K18" s="39"/>
      <c r="L18" s="39"/>
      <c r="M18" s="39"/>
      <c r="N18" s="39"/>
      <c r="P18" s="17"/>
    </row>
    <row r="19" spans="1:16" ht="60" customHeight="1" x14ac:dyDescent="0.25">
      <c r="A19" s="255" t="s">
        <v>251</v>
      </c>
      <c r="B19" s="252"/>
      <c r="C19" s="253">
        <v>131</v>
      </c>
      <c r="D19" s="252"/>
      <c r="E19" s="256">
        <f>J19</f>
        <v>3862033.16</v>
      </c>
      <c r="F19" s="256">
        <v>0</v>
      </c>
      <c r="G19" s="256">
        <f t="shared" ref="G19" si="7">F19</f>
        <v>0</v>
      </c>
      <c r="H19" s="256"/>
      <c r="I19" s="39"/>
      <c r="J19" s="39">
        <f>2601474+300000+403785.85+556773.31</f>
        <v>3862033.16</v>
      </c>
      <c r="K19" s="39"/>
      <c r="L19" s="39"/>
      <c r="M19" s="39"/>
      <c r="N19" s="39"/>
      <c r="P19" s="17"/>
    </row>
    <row r="20" spans="1:16" ht="60" customHeight="1" x14ac:dyDescent="0.25">
      <c r="A20" s="255" t="s">
        <v>282</v>
      </c>
      <c r="B20" s="252"/>
      <c r="C20" s="253">
        <v>131</v>
      </c>
      <c r="D20" s="252"/>
      <c r="E20" s="256">
        <f>L20</f>
        <v>254250</v>
      </c>
      <c r="F20" s="256">
        <v>0</v>
      </c>
      <c r="G20" s="256">
        <v>0</v>
      </c>
      <c r="H20" s="256"/>
      <c r="I20" s="39"/>
      <c r="J20" s="39"/>
      <c r="K20" s="39"/>
      <c r="L20" s="39">
        <f>200000+60000-5750</f>
        <v>254250</v>
      </c>
      <c r="M20" s="39"/>
      <c r="N20" s="39"/>
      <c r="P20" s="17"/>
    </row>
    <row r="21" spans="1:16" ht="60" customHeight="1" x14ac:dyDescent="0.25">
      <c r="A21" s="255" t="s">
        <v>206</v>
      </c>
      <c r="B21" s="252" t="s">
        <v>163</v>
      </c>
      <c r="C21" s="253">
        <v>135</v>
      </c>
      <c r="D21" s="252"/>
      <c r="E21" s="256">
        <f>I21+J21+K21+L21</f>
        <v>261295.69999999995</v>
      </c>
      <c r="F21" s="256">
        <v>619795.69999999995</v>
      </c>
      <c r="G21" s="256">
        <f t="shared" ref="G21" si="8">F21</f>
        <v>619795.69999999995</v>
      </c>
      <c r="H21" s="256"/>
      <c r="I21" s="39">
        <f>619795.7-358500</f>
        <v>261295.69999999995</v>
      </c>
      <c r="J21" s="39"/>
      <c r="K21" s="39"/>
      <c r="L21" s="39"/>
      <c r="M21" s="39"/>
      <c r="N21" s="39"/>
    </row>
    <row r="22" spans="1:16" ht="60" hidden="1" customHeight="1" x14ac:dyDescent="0.25">
      <c r="A22" s="226"/>
      <c r="B22" s="294"/>
      <c r="C22" s="217"/>
      <c r="D22" s="294"/>
      <c r="E22" s="16"/>
      <c r="F22" s="16"/>
      <c r="G22" s="16"/>
      <c r="H22" s="16"/>
      <c r="I22" s="39"/>
      <c r="J22" s="39"/>
      <c r="K22" s="39"/>
      <c r="L22" s="39"/>
      <c r="M22" s="39"/>
      <c r="N22" s="39"/>
    </row>
    <row r="23" spans="1:16" ht="39" customHeight="1" x14ac:dyDescent="0.25">
      <c r="A23" s="227" t="s">
        <v>60</v>
      </c>
      <c r="B23" s="55" t="s">
        <v>61</v>
      </c>
      <c r="C23" s="215">
        <v>140</v>
      </c>
      <c r="D23" s="55"/>
      <c r="E23" s="40">
        <f>E24</f>
        <v>0</v>
      </c>
      <c r="F23" s="40">
        <f t="shared" ref="F23:G23" si="9">F24</f>
        <v>0</v>
      </c>
      <c r="G23" s="40">
        <f t="shared" si="9"/>
        <v>0</v>
      </c>
      <c r="H23" s="36"/>
      <c r="I23" s="36"/>
      <c r="J23" s="36"/>
      <c r="K23" s="36"/>
      <c r="L23" s="36"/>
      <c r="M23" s="39"/>
      <c r="N23" s="39"/>
    </row>
    <row r="24" spans="1:16" ht="29.25" customHeight="1" x14ac:dyDescent="0.25">
      <c r="A24" s="226" t="s">
        <v>55</v>
      </c>
      <c r="B24" s="294" t="s">
        <v>63</v>
      </c>
      <c r="C24" s="217">
        <v>140</v>
      </c>
      <c r="D24" s="294"/>
      <c r="E24" s="39"/>
      <c r="F24" s="39"/>
      <c r="G24" s="16"/>
      <c r="H24" s="16"/>
      <c r="I24" s="39"/>
      <c r="J24" s="39"/>
      <c r="K24" s="39"/>
      <c r="L24" s="39"/>
      <c r="M24" s="39"/>
      <c r="N24" s="39"/>
    </row>
    <row r="25" spans="1:16" ht="39" customHeight="1" x14ac:dyDescent="0.25">
      <c r="A25" s="227" t="s">
        <v>73</v>
      </c>
      <c r="B25" s="55" t="s">
        <v>64</v>
      </c>
      <c r="C25" s="215">
        <v>150</v>
      </c>
      <c r="D25" s="55"/>
      <c r="E25" s="40">
        <f>E26+E27</f>
        <v>0</v>
      </c>
      <c r="F25" s="40">
        <f t="shared" ref="F25:G25" si="10">F26+F27</f>
        <v>0</v>
      </c>
      <c r="G25" s="40">
        <f t="shared" si="10"/>
        <v>0</v>
      </c>
      <c r="H25" s="36"/>
      <c r="I25" s="36"/>
      <c r="J25" s="36"/>
      <c r="K25" s="36"/>
      <c r="L25" s="36"/>
      <c r="M25" s="39"/>
      <c r="N25" s="39"/>
    </row>
    <row r="26" spans="1:16" ht="45" customHeight="1" x14ac:dyDescent="0.25">
      <c r="A26" s="226" t="s">
        <v>233</v>
      </c>
      <c r="B26" s="294"/>
      <c r="C26" s="217">
        <v>152</v>
      </c>
      <c r="D26" s="294"/>
      <c r="E26" s="39">
        <f>I26+J26+K26</f>
        <v>0</v>
      </c>
      <c r="F26" s="39"/>
      <c r="G26" s="16"/>
      <c r="H26" s="16"/>
      <c r="I26" s="36"/>
      <c r="J26" s="36"/>
      <c r="K26" s="36"/>
      <c r="L26" s="36"/>
      <c r="M26" s="39"/>
      <c r="N26" s="39"/>
    </row>
    <row r="27" spans="1:16" ht="26.25" customHeight="1" x14ac:dyDescent="0.25">
      <c r="A27" s="255" t="s">
        <v>230</v>
      </c>
      <c r="B27" s="252"/>
      <c r="C27" s="253">
        <v>155</v>
      </c>
      <c r="D27" s="252"/>
      <c r="E27" s="257">
        <f>I27+J27+K27</f>
        <v>0</v>
      </c>
      <c r="F27" s="257"/>
      <c r="G27" s="256"/>
      <c r="H27" s="256"/>
      <c r="I27" s="39"/>
      <c r="J27" s="39"/>
      <c r="K27" s="39"/>
      <c r="L27" s="39"/>
      <c r="M27" s="39"/>
      <c r="N27" s="39"/>
    </row>
    <row r="28" spans="1:16" ht="26.25" customHeight="1" x14ac:dyDescent="0.25">
      <c r="A28" s="226" t="s">
        <v>236</v>
      </c>
      <c r="B28" s="294"/>
      <c r="C28" s="217">
        <v>172</v>
      </c>
      <c r="D28" s="294"/>
      <c r="E28" s="39">
        <f>I28+J28+K28</f>
        <v>0</v>
      </c>
      <c r="F28" s="39"/>
      <c r="G28" s="16"/>
      <c r="H28" s="16"/>
      <c r="I28" s="39"/>
      <c r="J28" s="39"/>
      <c r="K28" s="39"/>
      <c r="L28" s="39"/>
      <c r="M28" s="39"/>
      <c r="N28" s="39"/>
    </row>
    <row r="29" spans="1:16" ht="39" customHeight="1" x14ac:dyDescent="0.25">
      <c r="A29" s="227" t="s">
        <v>74</v>
      </c>
      <c r="B29" s="55" t="s">
        <v>65</v>
      </c>
      <c r="C29" s="215">
        <v>180</v>
      </c>
      <c r="D29" s="55"/>
      <c r="E29" s="41">
        <f>E31+E32</f>
        <v>0</v>
      </c>
      <c r="F29" s="41">
        <v>0</v>
      </c>
      <c r="G29" s="41">
        <v>0</v>
      </c>
      <c r="H29" s="41">
        <v>0</v>
      </c>
      <c r="I29" s="41">
        <f t="shared" ref="I29:N29" si="11">I31+I32</f>
        <v>0</v>
      </c>
      <c r="J29" s="41">
        <f t="shared" si="11"/>
        <v>0</v>
      </c>
      <c r="K29" s="41">
        <f t="shared" si="11"/>
        <v>0</v>
      </c>
      <c r="L29" s="41">
        <f>L31+L32</f>
        <v>0</v>
      </c>
      <c r="M29" s="41">
        <f t="shared" si="11"/>
        <v>0</v>
      </c>
      <c r="N29" s="41">
        <f t="shared" si="11"/>
        <v>0</v>
      </c>
    </row>
    <row r="30" spans="1:16" ht="22.5" customHeight="1" x14ac:dyDescent="0.25">
      <c r="A30" s="226" t="s">
        <v>55</v>
      </c>
      <c r="B30" s="294"/>
      <c r="C30" s="217"/>
      <c r="D30" s="294"/>
      <c r="E30" s="39"/>
      <c r="F30" s="39"/>
      <c r="G30" s="16"/>
      <c r="H30" s="16"/>
      <c r="I30" s="39"/>
      <c r="J30" s="39"/>
      <c r="K30" s="39"/>
      <c r="L30" s="39"/>
      <c r="M30" s="39"/>
      <c r="N30" s="39"/>
    </row>
    <row r="31" spans="1:16" ht="33" customHeight="1" x14ac:dyDescent="0.25">
      <c r="A31" s="226" t="s">
        <v>62</v>
      </c>
      <c r="B31" s="294" t="s">
        <v>66</v>
      </c>
      <c r="C31" s="217">
        <v>180</v>
      </c>
      <c r="D31" s="294"/>
      <c r="E31" s="39"/>
      <c r="F31" s="39"/>
      <c r="G31" s="16"/>
      <c r="H31" s="16"/>
      <c r="I31" s="39"/>
      <c r="J31" s="39"/>
      <c r="K31" s="39"/>
      <c r="L31" s="39"/>
      <c r="M31" s="39"/>
      <c r="N31" s="39"/>
    </row>
    <row r="32" spans="1:16" ht="31.5" customHeight="1" x14ac:dyDescent="0.25">
      <c r="A32" s="226" t="s">
        <v>3</v>
      </c>
      <c r="B32" s="294" t="s">
        <v>67</v>
      </c>
      <c r="C32" s="217">
        <v>180</v>
      </c>
      <c r="D32" s="294"/>
      <c r="E32" s="39"/>
      <c r="F32" s="39"/>
      <c r="G32" s="16"/>
      <c r="H32" s="16"/>
      <c r="I32" s="39"/>
      <c r="J32" s="39"/>
      <c r="K32" s="39"/>
      <c r="L32" s="39"/>
      <c r="M32" s="39"/>
      <c r="N32" s="39"/>
    </row>
    <row r="33" spans="1:14" ht="20.25" customHeight="1" x14ac:dyDescent="0.25">
      <c r="A33" s="226"/>
      <c r="B33" s="294"/>
      <c r="C33" s="217"/>
      <c r="D33" s="294"/>
      <c r="E33" s="39"/>
      <c r="F33" s="39"/>
      <c r="G33" s="16"/>
      <c r="H33" s="16"/>
      <c r="I33" s="39"/>
      <c r="J33" s="39"/>
      <c r="K33" s="39"/>
      <c r="L33" s="39"/>
      <c r="M33" s="39"/>
      <c r="N33" s="39"/>
    </row>
    <row r="34" spans="1:14" ht="39" customHeight="1" x14ac:dyDescent="0.25">
      <c r="A34" s="230" t="s">
        <v>75</v>
      </c>
      <c r="B34" s="294" t="s">
        <v>68</v>
      </c>
      <c r="C34" s="217"/>
      <c r="D34" s="294"/>
      <c r="E34" s="75">
        <v>0</v>
      </c>
      <c r="F34" s="75">
        <v>0</v>
      </c>
      <c r="G34" s="75">
        <v>0</v>
      </c>
      <c r="H34" s="75">
        <v>0</v>
      </c>
      <c r="I34" s="39"/>
      <c r="J34" s="39"/>
      <c r="K34" s="39"/>
      <c r="L34" s="39"/>
      <c r="M34" s="39"/>
      <c r="N34" s="39"/>
    </row>
    <row r="35" spans="1:14" ht="39" customHeight="1" x14ac:dyDescent="0.25">
      <c r="A35" s="226" t="s">
        <v>55</v>
      </c>
      <c r="B35" s="294"/>
      <c r="C35" s="217"/>
      <c r="D35" s="294"/>
      <c r="E35" s="39"/>
      <c r="F35" s="39"/>
      <c r="G35" s="16"/>
      <c r="H35" s="16"/>
      <c r="I35" s="39"/>
      <c r="J35" s="39"/>
      <c r="K35" s="39"/>
      <c r="L35" s="39"/>
      <c r="M35" s="39"/>
      <c r="N35" s="39"/>
    </row>
    <row r="36" spans="1:14" ht="39" customHeight="1" x14ac:dyDescent="0.25">
      <c r="A36" s="230" t="s">
        <v>69</v>
      </c>
      <c r="B36" s="294" t="s">
        <v>71</v>
      </c>
      <c r="C36" s="217" t="s">
        <v>47</v>
      </c>
      <c r="D36" s="294"/>
      <c r="E36" s="39">
        <f>E38</f>
        <v>376379.02</v>
      </c>
      <c r="F36" s="39">
        <v>0</v>
      </c>
      <c r="G36" s="39">
        <v>0</v>
      </c>
      <c r="H36" s="39">
        <v>0</v>
      </c>
      <c r="I36" s="39"/>
      <c r="J36" s="39"/>
      <c r="K36" s="39"/>
      <c r="L36" s="39"/>
      <c r="M36" s="39"/>
      <c r="N36" s="39"/>
    </row>
    <row r="37" spans="1:14" ht="33" customHeight="1" x14ac:dyDescent="0.25">
      <c r="A37" s="230" t="s">
        <v>5</v>
      </c>
      <c r="B37" s="294"/>
      <c r="C37" s="217"/>
      <c r="D37" s="294"/>
      <c r="E37" s="39"/>
      <c r="F37" s="39"/>
      <c r="G37" s="16"/>
      <c r="H37" s="16"/>
      <c r="I37" s="39"/>
      <c r="J37" s="39"/>
      <c r="K37" s="39"/>
      <c r="L37" s="39"/>
      <c r="M37" s="39"/>
      <c r="N37" s="39"/>
    </row>
    <row r="38" spans="1:14" ht="48.75" customHeight="1" x14ac:dyDescent="0.25">
      <c r="A38" s="226" t="s">
        <v>70</v>
      </c>
      <c r="B38" s="294" t="s">
        <v>72</v>
      </c>
      <c r="C38" s="217">
        <v>510</v>
      </c>
      <c r="D38" s="294"/>
      <c r="E38" s="39">
        <f>I38+J38+K38+L38</f>
        <v>376379.02</v>
      </c>
      <c r="F38" s="39"/>
      <c r="G38" s="16"/>
      <c r="H38" s="16"/>
      <c r="I38" s="39">
        <f>47718.35+56529.34+12256.33</f>
        <v>116504.02</v>
      </c>
      <c r="J38" s="39">
        <v>47255.38</v>
      </c>
      <c r="K38" s="39">
        <v>212619.62</v>
      </c>
      <c r="L38" s="39">
        <v>0</v>
      </c>
      <c r="M38" s="39"/>
      <c r="N38" s="39"/>
    </row>
    <row r="39" spans="1:14" ht="52.5" customHeight="1" x14ac:dyDescent="0.25">
      <c r="A39" s="231" t="s">
        <v>79</v>
      </c>
      <c r="B39" s="57" t="s">
        <v>80</v>
      </c>
      <c r="C39" s="232" t="s">
        <v>4</v>
      </c>
      <c r="D39" s="57"/>
      <c r="E39" s="51">
        <f>E42+E45+E51+E54+E58+E60+E68</f>
        <v>7163457.8800000008</v>
      </c>
      <c r="F39" s="51">
        <f>F40+F69</f>
        <v>2119795.7000000002</v>
      </c>
      <c r="G39" s="51">
        <f>F39</f>
        <v>2119795.7000000002</v>
      </c>
      <c r="H39" s="51">
        <v>0</v>
      </c>
      <c r="I39" s="51">
        <f>I42+I45+I51+I54+I58+I60+I68</f>
        <v>2787299.72</v>
      </c>
      <c r="J39" s="51">
        <f>J42+J45+J51+J54+J58+J60+J68</f>
        <v>3909288.54</v>
      </c>
      <c r="K39" s="51">
        <f>K42+K45+K51+K54+K58+K60+K68</f>
        <v>212619.62</v>
      </c>
      <c r="L39" s="51">
        <f>L42+L45+L51+L54+L58+L60+L68</f>
        <v>254250</v>
      </c>
      <c r="M39" s="51">
        <f t="shared" ref="M39:N39" si="12">M42+M45+M51+M54+M58+M60+M68</f>
        <v>0</v>
      </c>
      <c r="N39" s="51">
        <f t="shared" si="12"/>
        <v>0</v>
      </c>
    </row>
    <row r="40" spans="1:14" ht="26.25" customHeight="1" x14ac:dyDescent="0.25">
      <c r="A40" s="233" t="s">
        <v>81</v>
      </c>
      <c r="B40" s="294" t="s">
        <v>82</v>
      </c>
      <c r="C40" s="234" t="s">
        <v>47</v>
      </c>
      <c r="D40" s="294"/>
      <c r="E40" s="16">
        <f>E42+E45+E51+E54</f>
        <v>2344785.2800000003</v>
      </c>
      <c r="F40" s="16">
        <f t="shared" ref="F40:G40" si="13">F42+F45+F51+F54</f>
        <v>784389.20000000007</v>
      </c>
      <c r="G40" s="16">
        <f t="shared" si="13"/>
        <v>784389.20000000007</v>
      </c>
      <c r="H40" s="16">
        <f t="shared" ref="H40" si="14">H42+H45+H51+H54</f>
        <v>0</v>
      </c>
      <c r="I40" s="39"/>
      <c r="J40" s="39"/>
      <c r="K40" s="39"/>
      <c r="L40" s="39"/>
      <c r="M40" s="39"/>
      <c r="N40" s="39"/>
    </row>
    <row r="41" spans="1:14" ht="19.5" customHeight="1" x14ac:dyDescent="0.25">
      <c r="A41" s="233" t="s">
        <v>55</v>
      </c>
      <c r="B41" s="294"/>
      <c r="C41" s="234"/>
      <c r="D41" s="294"/>
      <c r="E41" s="16"/>
      <c r="F41" s="16"/>
      <c r="G41" s="16"/>
      <c r="H41" s="16"/>
      <c r="I41" s="39"/>
      <c r="J41" s="39"/>
      <c r="K41" s="39"/>
      <c r="L41" s="39"/>
      <c r="M41" s="39"/>
      <c r="N41" s="39"/>
    </row>
    <row r="42" spans="1:14" s="239" customFormat="1" ht="36.75" customHeight="1" x14ac:dyDescent="0.25">
      <c r="A42" s="235" t="s">
        <v>7</v>
      </c>
      <c r="B42" s="64" t="s">
        <v>83</v>
      </c>
      <c r="C42" s="236">
        <v>111</v>
      </c>
      <c r="D42" s="64"/>
      <c r="E42" s="65">
        <f>E43+E44</f>
        <v>1705840.3600000003</v>
      </c>
      <c r="F42" s="65">
        <f>F43+F44</f>
        <v>597735.80000000005</v>
      </c>
      <c r="G42" s="65">
        <f>G43+G44</f>
        <v>597735.80000000005</v>
      </c>
      <c r="H42" s="65">
        <v>0</v>
      </c>
      <c r="I42" s="65">
        <f t="shared" ref="I42:N42" si="15">I43+I44</f>
        <v>511894.30000000005</v>
      </c>
      <c r="J42" s="65">
        <f t="shared" si="15"/>
        <v>1174936.4300000002</v>
      </c>
      <c r="K42" s="65">
        <f t="shared" si="15"/>
        <v>0</v>
      </c>
      <c r="L42" s="65">
        <f t="shared" si="15"/>
        <v>19009.630000000005</v>
      </c>
      <c r="M42" s="65">
        <f t="shared" si="15"/>
        <v>0</v>
      </c>
      <c r="N42" s="65">
        <f t="shared" si="15"/>
        <v>0</v>
      </c>
    </row>
    <row r="43" spans="1:14" ht="26.25" customHeight="1" outlineLevel="1" x14ac:dyDescent="0.25">
      <c r="A43" s="233" t="s">
        <v>257</v>
      </c>
      <c r="B43" s="294"/>
      <c r="C43" s="234">
        <v>111</v>
      </c>
      <c r="D43" s="294" t="s">
        <v>97</v>
      </c>
      <c r="E43" s="16">
        <f>I43+J43+K43+L43</f>
        <v>1705840.3600000003</v>
      </c>
      <c r="F43" s="16">
        <v>597735.80000000005</v>
      </c>
      <c r="G43" s="16">
        <f>F43</f>
        <v>597735.80000000005</v>
      </c>
      <c r="H43" s="16"/>
      <c r="I43" s="39">
        <f>597735.8-85841.5</f>
        <v>511894.30000000005</v>
      </c>
      <c r="J43" s="39">
        <f>957500+200000+137800+672796.31-793159.88</f>
        <v>1174936.4300000002</v>
      </c>
      <c r="K43" s="39"/>
      <c r="L43" s="39">
        <f>42383.01-22383.01-990.37</f>
        <v>19009.630000000005</v>
      </c>
      <c r="M43" s="39"/>
      <c r="N43" s="39"/>
    </row>
    <row r="44" spans="1:14" ht="45.75" customHeight="1" outlineLevel="1" x14ac:dyDescent="0.25">
      <c r="A44" s="233" t="s">
        <v>256</v>
      </c>
      <c r="B44" s="294"/>
      <c r="C44" s="234">
        <v>111</v>
      </c>
      <c r="D44" s="294" t="s">
        <v>96</v>
      </c>
      <c r="E44" s="16">
        <f>I44+J44+K44+L44</f>
        <v>0</v>
      </c>
      <c r="F44" s="16">
        <v>0</v>
      </c>
      <c r="G44" s="16">
        <v>0</v>
      </c>
      <c r="H44" s="16"/>
      <c r="I44" s="39"/>
      <c r="J44" s="39"/>
      <c r="K44" s="39"/>
      <c r="L44" s="39"/>
      <c r="M44" s="39"/>
      <c r="N44" s="39"/>
    </row>
    <row r="45" spans="1:14" s="239" customFormat="1" ht="55.5" customHeight="1" x14ac:dyDescent="0.25">
      <c r="A45" s="235" t="s">
        <v>84</v>
      </c>
      <c r="B45" s="64" t="s">
        <v>85</v>
      </c>
      <c r="C45" s="236">
        <v>112</v>
      </c>
      <c r="D45" s="64"/>
      <c r="E45" s="65">
        <f>E46+E47+E48+E49+E50</f>
        <v>91719.82</v>
      </c>
      <c r="F45" s="65">
        <f t="shared" ref="F45:G45" si="16">F46+F47+F48+F49+F50</f>
        <v>0</v>
      </c>
      <c r="G45" s="65">
        <f t="shared" si="16"/>
        <v>0</v>
      </c>
      <c r="H45" s="65">
        <v>0</v>
      </c>
      <c r="I45" s="65">
        <f t="shared" ref="I45:N45" si="17">I46+I47+I48+I49+I50</f>
        <v>10000</v>
      </c>
      <c r="J45" s="65">
        <f>J46+J47+J48+J49+J50</f>
        <v>0</v>
      </c>
      <c r="K45" s="65">
        <f t="shared" si="17"/>
        <v>81719.820000000007</v>
      </c>
      <c r="L45" s="65">
        <f t="shared" si="17"/>
        <v>0</v>
      </c>
      <c r="M45" s="65">
        <f t="shared" si="17"/>
        <v>0</v>
      </c>
      <c r="N45" s="65">
        <f t="shared" si="17"/>
        <v>0</v>
      </c>
    </row>
    <row r="46" spans="1:14" ht="36" customHeight="1" outlineLevel="1" x14ac:dyDescent="0.25">
      <c r="A46" s="226" t="s">
        <v>253</v>
      </c>
      <c r="B46" s="294"/>
      <c r="C46" s="234">
        <v>112</v>
      </c>
      <c r="D46" s="294">
        <v>212</v>
      </c>
      <c r="E46" s="16">
        <f>I46+J46+K46+L46</f>
        <v>0</v>
      </c>
      <c r="F46" s="16">
        <v>0</v>
      </c>
      <c r="G46" s="16">
        <v>0</v>
      </c>
      <c r="H46" s="16"/>
      <c r="I46" s="39"/>
      <c r="J46" s="39"/>
      <c r="K46" s="39"/>
      <c r="L46" s="39"/>
      <c r="M46" s="39"/>
      <c r="N46" s="39"/>
    </row>
    <row r="47" spans="1:14" ht="39.75" customHeight="1" outlineLevel="1" x14ac:dyDescent="0.25">
      <c r="A47" s="226" t="s">
        <v>254</v>
      </c>
      <c r="B47" s="294"/>
      <c r="C47" s="234">
        <v>112</v>
      </c>
      <c r="D47" s="294" t="s">
        <v>95</v>
      </c>
      <c r="E47" s="16">
        <f>I47+J47+K47+L47</f>
        <v>70023.42</v>
      </c>
      <c r="F47" s="16">
        <v>0</v>
      </c>
      <c r="G47" s="16">
        <v>0</v>
      </c>
      <c r="H47" s="16"/>
      <c r="I47" s="39">
        <f>81-81+8000</f>
        <v>8000</v>
      </c>
      <c r="J47" s="39"/>
      <c r="K47" s="39">
        <f>20000+4919+81+10000+1000+19000+7023.42</f>
        <v>62023.42</v>
      </c>
      <c r="L47" s="39"/>
      <c r="M47" s="39"/>
      <c r="N47" s="39"/>
    </row>
    <row r="48" spans="1:14" ht="33" customHeight="1" outlineLevel="1" x14ac:dyDescent="0.25">
      <c r="A48" s="226" t="s">
        <v>9</v>
      </c>
      <c r="B48" s="294"/>
      <c r="C48" s="234">
        <v>112</v>
      </c>
      <c r="D48" s="294" t="s">
        <v>94</v>
      </c>
      <c r="E48" s="16">
        <f>I48+J48+K48+L48</f>
        <v>0</v>
      </c>
      <c r="F48" s="16">
        <v>0</v>
      </c>
      <c r="G48" s="16">
        <v>0</v>
      </c>
      <c r="H48" s="16"/>
      <c r="I48" s="39"/>
      <c r="J48" s="39"/>
      <c r="K48" s="39"/>
      <c r="L48" s="39"/>
      <c r="M48" s="39"/>
      <c r="N48" s="39"/>
    </row>
    <row r="49" spans="1:14" ht="34.5" customHeight="1" outlineLevel="1" x14ac:dyDescent="0.25">
      <c r="A49" s="226" t="s">
        <v>255</v>
      </c>
      <c r="B49" s="294"/>
      <c r="C49" s="234">
        <v>112</v>
      </c>
      <c r="D49" s="294">
        <v>226</v>
      </c>
      <c r="E49" s="16">
        <f>I49+J49+K49+L49</f>
        <v>21696.400000000001</v>
      </c>
      <c r="F49" s="16">
        <v>0</v>
      </c>
      <c r="G49" s="16">
        <v>0</v>
      </c>
      <c r="H49" s="16"/>
      <c r="I49" s="39">
        <v>2000</v>
      </c>
      <c r="J49" s="39"/>
      <c r="K49" s="39">
        <f>32561.24-1000-4841.42-7023.42</f>
        <v>19696.400000000001</v>
      </c>
      <c r="L49" s="39"/>
      <c r="M49" s="39"/>
      <c r="N49" s="39"/>
    </row>
    <row r="50" spans="1:14" ht="34.5" customHeight="1" outlineLevel="1" x14ac:dyDescent="0.25">
      <c r="A50" s="226" t="s">
        <v>256</v>
      </c>
      <c r="B50" s="294"/>
      <c r="C50" s="234">
        <v>112</v>
      </c>
      <c r="D50" s="294" t="s">
        <v>96</v>
      </c>
      <c r="E50" s="16">
        <f>I50+J50+K50+L50</f>
        <v>0</v>
      </c>
      <c r="F50" s="16">
        <v>0</v>
      </c>
      <c r="G50" s="16">
        <v>0</v>
      </c>
      <c r="H50" s="16"/>
      <c r="I50" s="39"/>
      <c r="J50" s="39"/>
      <c r="K50" s="39"/>
      <c r="L50" s="39"/>
      <c r="M50" s="39"/>
      <c r="N50" s="39"/>
    </row>
    <row r="51" spans="1:14" s="239" customFormat="1" ht="81.75" customHeight="1" x14ac:dyDescent="0.25">
      <c r="A51" s="235" t="s">
        <v>86</v>
      </c>
      <c r="B51" s="64" t="s">
        <v>87</v>
      </c>
      <c r="C51" s="236">
        <v>113</v>
      </c>
      <c r="D51" s="64"/>
      <c r="E51" s="65">
        <f>E52+E53</f>
        <v>0</v>
      </c>
      <c r="F51" s="65">
        <v>0</v>
      </c>
      <c r="G51" s="65">
        <v>0</v>
      </c>
      <c r="H51" s="65">
        <v>0</v>
      </c>
      <c r="I51" s="65">
        <f t="shared" ref="I51:N51" si="18">I52+I53</f>
        <v>0</v>
      </c>
      <c r="J51" s="65">
        <f>J52+J53</f>
        <v>0</v>
      </c>
      <c r="K51" s="65">
        <f t="shared" si="18"/>
        <v>0</v>
      </c>
      <c r="L51" s="65">
        <f t="shared" si="18"/>
        <v>0</v>
      </c>
      <c r="M51" s="65">
        <f t="shared" si="18"/>
        <v>0</v>
      </c>
      <c r="N51" s="65">
        <f t="shared" si="18"/>
        <v>0</v>
      </c>
    </row>
    <row r="52" spans="1:14" ht="32.25" customHeight="1" outlineLevel="1" x14ac:dyDescent="0.25">
      <c r="A52" s="226" t="s">
        <v>253</v>
      </c>
      <c r="B52" s="294"/>
      <c r="C52" s="234">
        <v>113</v>
      </c>
      <c r="D52" s="294" t="s">
        <v>98</v>
      </c>
      <c r="E52" s="16">
        <f>I52+J52+K52+L52</f>
        <v>0</v>
      </c>
      <c r="F52" s="16">
        <v>0</v>
      </c>
      <c r="G52" s="16">
        <v>0</v>
      </c>
      <c r="H52" s="16"/>
      <c r="I52" s="39"/>
      <c r="J52" s="39"/>
      <c r="K52" s="39"/>
      <c r="L52" s="39"/>
      <c r="M52" s="39"/>
      <c r="N52" s="39"/>
    </row>
    <row r="53" spans="1:14" ht="27.75" customHeight="1" outlineLevel="1" x14ac:dyDescent="0.25">
      <c r="A53" s="226" t="s">
        <v>255</v>
      </c>
      <c r="B53" s="294"/>
      <c r="C53" s="234">
        <v>113</v>
      </c>
      <c r="D53" s="294" t="s">
        <v>99</v>
      </c>
      <c r="E53" s="16">
        <f>I53+J53+K53+L53</f>
        <v>0</v>
      </c>
      <c r="F53" s="16">
        <v>0</v>
      </c>
      <c r="G53" s="16">
        <v>0</v>
      </c>
      <c r="H53" s="16"/>
      <c r="I53" s="39"/>
      <c r="J53" s="39"/>
      <c r="K53" s="39"/>
      <c r="L53" s="39"/>
      <c r="M53" s="39"/>
      <c r="N53" s="39"/>
    </row>
    <row r="54" spans="1:14" s="239" customFormat="1" ht="93" customHeight="1" x14ac:dyDescent="0.25">
      <c r="A54" s="235" t="s">
        <v>88</v>
      </c>
      <c r="B54" s="64" t="s">
        <v>89</v>
      </c>
      <c r="C54" s="236">
        <v>119</v>
      </c>
      <c r="D54" s="64"/>
      <c r="E54" s="65">
        <f>E56+E57</f>
        <v>547225.1</v>
      </c>
      <c r="F54" s="65">
        <f>F56+F57</f>
        <v>186653.4</v>
      </c>
      <c r="G54" s="65">
        <f t="shared" ref="G54" si="19">G56+G57</f>
        <v>186653.4</v>
      </c>
      <c r="H54" s="65">
        <v>0</v>
      </c>
      <c r="I54" s="65">
        <f t="shared" ref="I54:N54" si="20">I56+I57</f>
        <v>186653.4</v>
      </c>
      <c r="J54" s="65">
        <f>J56+J57</f>
        <v>354830.79</v>
      </c>
      <c r="K54" s="65">
        <f t="shared" si="20"/>
        <v>0</v>
      </c>
      <c r="L54" s="65">
        <f t="shared" si="20"/>
        <v>5740.91</v>
      </c>
      <c r="M54" s="65">
        <f t="shared" si="20"/>
        <v>0</v>
      </c>
      <c r="N54" s="65">
        <f t="shared" si="20"/>
        <v>0</v>
      </c>
    </row>
    <row r="55" spans="1:14" ht="25.5" customHeight="1" x14ac:dyDescent="0.25">
      <c r="A55" s="233" t="s">
        <v>2</v>
      </c>
      <c r="B55" s="294"/>
      <c r="C55" s="234"/>
      <c r="D55" s="294"/>
      <c r="E55" s="16"/>
      <c r="F55" s="16"/>
      <c r="G55" s="16"/>
      <c r="H55" s="16"/>
      <c r="I55" s="39"/>
      <c r="J55" s="39"/>
      <c r="K55" s="39"/>
      <c r="L55" s="39"/>
      <c r="M55" s="39"/>
      <c r="N55" s="39"/>
    </row>
    <row r="56" spans="1:14" ht="29.25" customHeight="1" x14ac:dyDescent="0.25">
      <c r="A56" s="233" t="s">
        <v>258</v>
      </c>
      <c r="B56" s="294" t="s">
        <v>92</v>
      </c>
      <c r="C56" s="234">
        <v>119</v>
      </c>
      <c r="D56" s="294" t="s">
        <v>100</v>
      </c>
      <c r="E56" s="16">
        <f>I56+J56+K56+L56</f>
        <v>547225.1</v>
      </c>
      <c r="F56" s="16">
        <v>186653.4</v>
      </c>
      <c r="G56" s="16">
        <f>F56</f>
        <v>186653.4</v>
      </c>
      <c r="H56" s="16"/>
      <c r="I56" s="39">
        <v>186653.4</v>
      </c>
      <c r="J56" s="39">
        <f>289165+79148.38+213450+62663-289595.59</f>
        <v>354830.79</v>
      </c>
      <c r="K56" s="39"/>
      <c r="L56" s="39">
        <f>12799.67-6759.67-299.09</f>
        <v>5740.91</v>
      </c>
      <c r="M56" s="39"/>
      <c r="N56" s="39"/>
    </row>
    <row r="57" spans="1:14" ht="29.25" customHeight="1" x14ac:dyDescent="0.25">
      <c r="A57" s="233" t="s">
        <v>90</v>
      </c>
      <c r="B57" s="294" t="s">
        <v>93</v>
      </c>
      <c r="C57" s="234">
        <v>119</v>
      </c>
      <c r="D57" s="294" t="s">
        <v>268</v>
      </c>
      <c r="E57" s="16">
        <f>I57+J57+K57+L57</f>
        <v>0</v>
      </c>
      <c r="F57" s="16">
        <v>0</v>
      </c>
      <c r="G57" s="16">
        <v>0</v>
      </c>
      <c r="H57" s="16"/>
      <c r="I57" s="39"/>
      <c r="J57" s="39"/>
      <c r="K57" s="39"/>
      <c r="L57" s="39"/>
      <c r="M57" s="39"/>
      <c r="N57" s="39"/>
    </row>
    <row r="58" spans="1:14" ht="48" customHeight="1" x14ac:dyDescent="0.25">
      <c r="A58" s="235" t="s">
        <v>101</v>
      </c>
      <c r="B58" s="240" t="s">
        <v>102</v>
      </c>
      <c r="C58" s="236">
        <v>300</v>
      </c>
      <c r="D58" s="64"/>
      <c r="E58" s="65">
        <f>E59</f>
        <v>0</v>
      </c>
      <c r="F58" s="65">
        <v>0</v>
      </c>
      <c r="G58" s="65">
        <v>0</v>
      </c>
      <c r="H58" s="65">
        <v>0</v>
      </c>
      <c r="I58" s="65">
        <f t="shared" ref="I58:N58" si="21">I59</f>
        <v>0</v>
      </c>
      <c r="J58" s="65">
        <f t="shared" si="21"/>
        <v>0</v>
      </c>
      <c r="K58" s="65">
        <f t="shared" si="21"/>
        <v>0</v>
      </c>
      <c r="L58" s="65"/>
      <c r="M58" s="65">
        <f t="shared" si="21"/>
        <v>0</v>
      </c>
      <c r="N58" s="65">
        <f t="shared" si="21"/>
        <v>0</v>
      </c>
    </row>
    <row r="59" spans="1:14" ht="46.5" customHeight="1" x14ac:dyDescent="0.25">
      <c r="A59" s="233" t="s">
        <v>103</v>
      </c>
      <c r="B59" s="294" t="s">
        <v>104</v>
      </c>
      <c r="C59" s="234">
        <v>321</v>
      </c>
      <c r="D59" s="294" t="s">
        <v>105</v>
      </c>
      <c r="E59" s="16">
        <f>I59+J59+K59+L59</f>
        <v>0</v>
      </c>
      <c r="F59" s="16">
        <v>0</v>
      </c>
      <c r="G59" s="16">
        <v>0</v>
      </c>
      <c r="H59" s="16"/>
      <c r="I59" s="39"/>
      <c r="J59" s="39"/>
      <c r="K59" s="39"/>
      <c r="L59" s="39"/>
      <c r="M59" s="39"/>
      <c r="N59" s="39"/>
    </row>
    <row r="60" spans="1:14" ht="56.25" customHeight="1" x14ac:dyDescent="0.25">
      <c r="A60" s="241" t="s">
        <v>106</v>
      </c>
      <c r="B60" s="64" t="s">
        <v>107</v>
      </c>
      <c r="C60" s="236">
        <v>850</v>
      </c>
      <c r="D60" s="64"/>
      <c r="E60" s="65">
        <f>SUM(E61:E67)</f>
        <v>194321.72</v>
      </c>
      <c r="F60" s="65">
        <v>0</v>
      </c>
      <c r="G60" s="65">
        <v>0</v>
      </c>
      <c r="H60" s="65">
        <f t="shared" ref="H60" si="22">H61+H62+H63+H66+H67</f>
        <v>0</v>
      </c>
      <c r="I60" s="65">
        <f>SUM(I61:I67)</f>
        <v>194321.72</v>
      </c>
      <c r="J60" s="65">
        <f t="shared" ref="J60:N60" si="23">SUM(J61:J67)</f>
        <v>0</v>
      </c>
      <c r="K60" s="65">
        <f t="shared" si="23"/>
        <v>0</v>
      </c>
      <c r="L60" s="65"/>
      <c r="M60" s="65">
        <f t="shared" si="23"/>
        <v>0</v>
      </c>
      <c r="N60" s="65">
        <f t="shared" si="23"/>
        <v>0</v>
      </c>
    </row>
    <row r="61" spans="1:14" ht="42" customHeight="1" x14ac:dyDescent="0.25">
      <c r="A61" s="233" t="s">
        <v>108</v>
      </c>
      <c r="B61" s="294" t="s">
        <v>109</v>
      </c>
      <c r="C61" s="234">
        <v>851</v>
      </c>
      <c r="D61" s="294" t="s">
        <v>114</v>
      </c>
      <c r="E61" s="16">
        <f>I61+J61+K61+L61</f>
        <v>0</v>
      </c>
      <c r="F61" s="16">
        <v>0</v>
      </c>
      <c r="G61" s="16">
        <v>0</v>
      </c>
      <c r="H61" s="16"/>
      <c r="I61" s="39"/>
      <c r="J61" s="39"/>
      <c r="K61" s="39"/>
      <c r="L61" s="39"/>
      <c r="M61" s="39"/>
      <c r="N61" s="39"/>
    </row>
    <row r="62" spans="1:14" ht="30" customHeight="1" x14ac:dyDescent="0.25">
      <c r="A62" s="233" t="s">
        <v>110</v>
      </c>
      <c r="B62" s="294" t="s">
        <v>111</v>
      </c>
      <c r="C62" s="234">
        <v>852</v>
      </c>
      <c r="D62" s="294" t="s">
        <v>114</v>
      </c>
      <c r="E62" s="16">
        <f>I62+J62+K62+L62</f>
        <v>5100</v>
      </c>
      <c r="F62" s="16">
        <v>0</v>
      </c>
      <c r="G62" s="16">
        <v>0</v>
      </c>
      <c r="H62" s="16"/>
      <c r="I62" s="39">
        <f>800+300+4000</f>
        <v>5100</v>
      </c>
      <c r="J62" s="39"/>
      <c r="K62" s="39"/>
      <c r="L62" s="39"/>
      <c r="M62" s="39"/>
      <c r="N62" s="39"/>
    </row>
    <row r="63" spans="1:14" ht="25.5" customHeight="1" x14ac:dyDescent="0.25">
      <c r="A63" s="348" t="s">
        <v>112</v>
      </c>
      <c r="B63" s="351" t="s">
        <v>113</v>
      </c>
      <c r="C63" s="234">
        <v>853</v>
      </c>
      <c r="D63" s="294" t="s">
        <v>114</v>
      </c>
      <c r="E63" s="16">
        <f>I63+J63+K63+L63</f>
        <v>0</v>
      </c>
      <c r="F63" s="16">
        <v>0</v>
      </c>
      <c r="G63" s="16">
        <v>0</v>
      </c>
      <c r="H63" s="16"/>
      <c r="I63" s="39"/>
      <c r="J63" s="39"/>
      <c r="K63" s="39"/>
      <c r="L63" s="39"/>
      <c r="M63" s="39"/>
      <c r="N63" s="39"/>
    </row>
    <row r="64" spans="1:14" ht="21" customHeight="1" x14ac:dyDescent="0.25">
      <c r="A64" s="349"/>
      <c r="B64" s="352"/>
      <c r="C64" s="234">
        <v>853</v>
      </c>
      <c r="D64" s="294" t="s">
        <v>231</v>
      </c>
      <c r="E64" s="16">
        <f t="shared" ref="E64" si="24">I64+J64+K64+L64</f>
        <v>0</v>
      </c>
      <c r="F64" s="16">
        <v>0</v>
      </c>
      <c r="G64" s="16">
        <v>0</v>
      </c>
      <c r="H64" s="16"/>
      <c r="I64" s="39"/>
      <c r="J64" s="39"/>
      <c r="K64" s="39"/>
      <c r="L64" s="39"/>
      <c r="M64" s="39"/>
      <c r="N64" s="39"/>
    </row>
    <row r="65" spans="1:14" ht="24" customHeight="1" x14ac:dyDescent="0.25">
      <c r="A65" s="350"/>
      <c r="B65" s="353"/>
      <c r="C65" s="234">
        <v>853</v>
      </c>
      <c r="D65" s="294" t="s">
        <v>210</v>
      </c>
      <c r="E65" s="16">
        <f>I65+J65+K65+L65</f>
        <v>121880.56</v>
      </c>
      <c r="F65" s="16">
        <v>0</v>
      </c>
      <c r="G65" s="16">
        <v>0</v>
      </c>
      <c r="H65" s="16"/>
      <c r="I65" s="39">
        <v>121880.56</v>
      </c>
      <c r="J65" s="39"/>
      <c r="K65" s="39"/>
      <c r="L65" s="39"/>
      <c r="M65" s="39"/>
      <c r="N65" s="39"/>
    </row>
    <row r="66" spans="1:14" ht="37.5" customHeight="1" x14ac:dyDescent="0.25">
      <c r="A66" s="233" t="s">
        <v>211</v>
      </c>
      <c r="B66" s="294"/>
      <c r="C66" s="234">
        <v>831</v>
      </c>
      <c r="D66" s="294" t="s">
        <v>210</v>
      </c>
      <c r="E66" s="16">
        <f>I66+J66+K66+L66</f>
        <v>67341.16</v>
      </c>
      <c r="F66" s="16">
        <v>0</v>
      </c>
      <c r="G66" s="16">
        <v>0</v>
      </c>
      <c r="H66" s="16"/>
      <c r="I66" s="39">
        <f>50000+17341.16</f>
        <v>67341.16</v>
      </c>
      <c r="J66" s="39"/>
      <c r="K66" s="39"/>
      <c r="L66" s="39"/>
      <c r="M66" s="39"/>
      <c r="N66" s="39"/>
    </row>
    <row r="67" spans="1:14" ht="37.5" customHeight="1" x14ac:dyDescent="0.25">
      <c r="A67" s="233" t="s">
        <v>211</v>
      </c>
      <c r="B67" s="294"/>
      <c r="C67" s="234">
        <v>831</v>
      </c>
      <c r="D67" s="294" t="s">
        <v>216</v>
      </c>
      <c r="E67" s="16">
        <f>I67+J67+K67+L67</f>
        <v>0</v>
      </c>
      <c r="F67" s="16">
        <v>0</v>
      </c>
      <c r="G67" s="16">
        <v>0</v>
      </c>
      <c r="H67" s="16"/>
      <c r="I67" s="39"/>
      <c r="J67" s="39"/>
      <c r="K67" s="39"/>
      <c r="L67" s="39"/>
      <c r="M67" s="39"/>
      <c r="N67" s="39"/>
    </row>
    <row r="68" spans="1:14" ht="50.25" customHeight="1" x14ac:dyDescent="0.25">
      <c r="A68" s="235" t="s">
        <v>24</v>
      </c>
      <c r="B68" s="64" t="s">
        <v>116</v>
      </c>
      <c r="C68" s="236" t="s">
        <v>47</v>
      </c>
      <c r="D68" s="64"/>
      <c r="E68" s="65">
        <f>E69</f>
        <v>4624350.88</v>
      </c>
      <c r="F68" s="65">
        <f t="shared" ref="F68:G68" si="25">F69</f>
        <v>1335406.5</v>
      </c>
      <c r="G68" s="65">
        <f t="shared" si="25"/>
        <v>1335406.5</v>
      </c>
      <c r="H68" s="65">
        <v>0</v>
      </c>
      <c r="I68" s="65">
        <f t="shared" ref="I68:N68" si="26">I69</f>
        <v>1884430.3</v>
      </c>
      <c r="J68" s="65">
        <f t="shared" si="26"/>
        <v>2379521.3199999998</v>
      </c>
      <c r="K68" s="65">
        <f t="shared" si="26"/>
        <v>130899.8</v>
      </c>
      <c r="L68" s="65">
        <f t="shared" si="26"/>
        <v>229499.46</v>
      </c>
      <c r="M68" s="65">
        <f t="shared" si="26"/>
        <v>0</v>
      </c>
      <c r="N68" s="65">
        <f t="shared" si="26"/>
        <v>0</v>
      </c>
    </row>
    <row r="69" spans="1:14" ht="52.5" customHeight="1" x14ac:dyDescent="0.25">
      <c r="A69" s="235" t="s">
        <v>117</v>
      </c>
      <c r="B69" s="64" t="s">
        <v>115</v>
      </c>
      <c r="C69" s="236">
        <v>244</v>
      </c>
      <c r="D69" s="64"/>
      <c r="E69" s="65">
        <f>SUM(E71:E91)</f>
        <v>4624350.88</v>
      </c>
      <c r="F69" s="65">
        <f t="shared" ref="F69:G69" si="27">SUM(F71:F91)</f>
        <v>1335406.5</v>
      </c>
      <c r="G69" s="65">
        <f t="shared" si="27"/>
        <v>1335406.5</v>
      </c>
      <c r="H69" s="65">
        <f t="shared" ref="H69:N69" si="28">H71+H72+H73+H74+H75+H76+H77+H78+H79+H80+H81+H82+H83+H84+H86+H85</f>
        <v>0</v>
      </c>
      <c r="I69" s="65">
        <f>SUM(I70:I87)</f>
        <v>1884430.3</v>
      </c>
      <c r="J69" s="65">
        <f>SUM(J70:J87)</f>
        <v>2379521.3199999998</v>
      </c>
      <c r="K69" s="65">
        <f>SUM(K70:K87)</f>
        <v>130899.8</v>
      </c>
      <c r="L69" s="65">
        <f>SUM(L70:L87)</f>
        <v>229499.46</v>
      </c>
      <c r="M69" s="65">
        <f t="shared" si="28"/>
        <v>0</v>
      </c>
      <c r="N69" s="65">
        <f t="shared" si="28"/>
        <v>0</v>
      </c>
    </row>
    <row r="70" spans="1:14" ht="27" customHeight="1" x14ac:dyDescent="0.25">
      <c r="A70" s="233" t="s">
        <v>131</v>
      </c>
      <c r="B70" s="58"/>
      <c r="C70" s="217"/>
      <c r="D70" s="58"/>
      <c r="E70" s="14"/>
      <c r="F70" s="14"/>
      <c r="G70" s="14"/>
      <c r="H70" s="14"/>
      <c r="I70" s="39"/>
      <c r="J70" s="39"/>
      <c r="K70" s="39"/>
      <c r="L70" s="39"/>
      <c r="M70" s="39"/>
      <c r="N70" s="39"/>
    </row>
    <row r="71" spans="1:14" ht="32.25" customHeight="1" outlineLevel="1" x14ac:dyDescent="0.25">
      <c r="A71" s="213" t="s">
        <v>8</v>
      </c>
      <c r="B71" s="294"/>
      <c r="C71" s="234">
        <v>244</v>
      </c>
      <c r="D71" s="294" t="s">
        <v>118</v>
      </c>
      <c r="E71" s="16">
        <f t="shared" ref="E71:E87" si="29">I71+J71+K71+L71</f>
        <v>0</v>
      </c>
      <c r="F71" s="16">
        <v>0</v>
      </c>
      <c r="G71" s="16">
        <v>0</v>
      </c>
      <c r="H71" s="16"/>
      <c r="I71" s="39"/>
      <c r="J71" s="39"/>
      <c r="K71" s="39"/>
      <c r="L71" s="39"/>
      <c r="M71" s="39"/>
      <c r="N71" s="39"/>
    </row>
    <row r="72" spans="1:14" ht="37.5" customHeight="1" outlineLevel="1" x14ac:dyDescent="0.25">
      <c r="A72" s="213" t="s">
        <v>9</v>
      </c>
      <c r="B72" s="294"/>
      <c r="C72" s="234">
        <v>244</v>
      </c>
      <c r="D72" s="294" t="s">
        <v>94</v>
      </c>
      <c r="E72" s="16">
        <f t="shared" si="29"/>
        <v>52000</v>
      </c>
      <c r="F72" s="16">
        <v>0</v>
      </c>
      <c r="G72" s="16">
        <v>0</v>
      </c>
      <c r="H72" s="16"/>
      <c r="I72" s="39">
        <f>25000+27000</f>
        <v>52000</v>
      </c>
      <c r="J72" s="39"/>
      <c r="K72" s="39"/>
      <c r="L72" s="39"/>
      <c r="M72" s="39"/>
      <c r="N72" s="39"/>
    </row>
    <row r="73" spans="1:14" ht="41.25" customHeight="1" outlineLevel="1" x14ac:dyDescent="0.25">
      <c r="A73" s="213" t="s">
        <v>10</v>
      </c>
      <c r="B73" s="294"/>
      <c r="C73" s="234">
        <v>244</v>
      </c>
      <c r="D73" s="294" t="s">
        <v>119</v>
      </c>
      <c r="E73" s="16">
        <f t="shared" si="29"/>
        <v>1.55</v>
      </c>
      <c r="F73" s="16">
        <v>0</v>
      </c>
      <c r="G73" s="16">
        <v>0</v>
      </c>
      <c r="H73" s="16"/>
      <c r="I73" s="39">
        <v>1.55</v>
      </c>
      <c r="J73" s="39">
        <f>114009-114009</f>
        <v>0</v>
      </c>
      <c r="K73" s="39"/>
      <c r="L73" s="39"/>
      <c r="M73" s="39"/>
      <c r="N73" s="39"/>
    </row>
    <row r="74" spans="1:14" ht="28.5" customHeight="1" outlineLevel="1" x14ac:dyDescent="0.25">
      <c r="A74" s="213" t="s">
        <v>22</v>
      </c>
      <c r="B74" s="294"/>
      <c r="C74" s="234">
        <v>244</v>
      </c>
      <c r="D74" s="294" t="s">
        <v>120</v>
      </c>
      <c r="E74" s="16">
        <f t="shared" si="29"/>
        <v>1143430</v>
      </c>
      <c r="F74" s="16">
        <v>265541.5</v>
      </c>
      <c r="G74" s="16">
        <v>265541.5</v>
      </c>
      <c r="H74" s="16"/>
      <c r="I74" s="39">
        <f>265541.5-15541.5-15541.5+15541.5</f>
        <v>250000</v>
      </c>
      <c r="J74" s="39">
        <v>893430</v>
      </c>
      <c r="K74" s="39"/>
      <c r="L74" s="39"/>
      <c r="M74" s="39"/>
      <c r="N74" s="39"/>
    </row>
    <row r="75" spans="1:14" ht="30" customHeight="1" outlineLevel="1" x14ac:dyDescent="0.25">
      <c r="A75" s="213" t="s">
        <v>11</v>
      </c>
      <c r="B75" s="294"/>
      <c r="C75" s="234">
        <v>244</v>
      </c>
      <c r="D75" s="294" t="s">
        <v>121</v>
      </c>
      <c r="E75" s="16">
        <f t="shared" si="29"/>
        <v>815284.88</v>
      </c>
      <c r="F75" s="16">
        <v>60000</v>
      </c>
      <c r="G75" s="16">
        <v>60000</v>
      </c>
      <c r="H75" s="16"/>
      <c r="I75" s="39">
        <f>60000+56529.34-29338-22851.46+230000-30235</f>
        <v>264104.88</v>
      </c>
      <c r="J75" s="39">
        <f>125400-82010-32210+540000</f>
        <v>551180</v>
      </c>
      <c r="K75" s="39"/>
      <c r="L75" s="39"/>
      <c r="M75" s="39"/>
      <c r="N75" s="39"/>
    </row>
    <row r="76" spans="1:14" ht="36" customHeight="1" outlineLevel="1" x14ac:dyDescent="0.25">
      <c r="A76" s="213" t="s">
        <v>12</v>
      </c>
      <c r="B76" s="294"/>
      <c r="C76" s="234">
        <v>244</v>
      </c>
      <c r="D76" s="294" t="s">
        <v>99</v>
      </c>
      <c r="E76" s="16">
        <f t="shared" si="29"/>
        <v>521814.94999999995</v>
      </c>
      <c r="F76" s="16">
        <v>120000</v>
      </c>
      <c r="G76" s="16">
        <v>120000</v>
      </c>
      <c r="H76" s="16"/>
      <c r="I76" s="39">
        <f>120000+46531.06+3000+30000+57900-22338+5884.61+67106.28</f>
        <v>308083.94999999995</v>
      </c>
      <c r="J76" s="39">
        <f>125400-102990-5868-427</f>
        <v>16115</v>
      </c>
      <c r="K76" s="39">
        <f>92619.62-22253.62</f>
        <v>70366</v>
      </c>
      <c r="L76" s="39">
        <f>90000+41150-3900</f>
        <v>127250</v>
      </c>
      <c r="M76" s="39"/>
      <c r="N76" s="39"/>
    </row>
    <row r="77" spans="1:14" ht="36" customHeight="1" outlineLevel="1" x14ac:dyDescent="0.25">
      <c r="A77" s="213" t="s">
        <v>30</v>
      </c>
      <c r="B77" s="294"/>
      <c r="C77" s="234">
        <v>244</v>
      </c>
      <c r="D77" s="294" t="s">
        <v>122</v>
      </c>
      <c r="E77" s="16">
        <f t="shared" si="29"/>
        <v>0</v>
      </c>
      <c r="F77" s="16">
        <v>0</v>
      </c>
      <c r="G77" s="16">
        <v>0</v>
      </c>
      <c r="H77" s="16"/>
      <c r="I77" s="39"/>
      <c r="J77" s="39"/>
      <c r="K77" s="39"/>
      <c r="L77" s="39"/>
      <c r="M77" s="39"/>
      <c r="N77" s="39"/>
    </row>
    <row r="78" spans="1:14" ht="32.25" customHeight="1" outlineLevel="1" x14ac:dyDescent="0.25">
      <c r="A78" s="213" t="s">
        <v>31</v>
      </c>
      <c r="B78" s="294"/>
      <c r="C78" s="234">
        <v>244</v>
      </c>
      <c r="D78" s="294" t="s">
        <v>123</v>
      </c>
      <c r="E78" s="16">
        <f t="shared" si="29"/>
        <v>32490</v>
      </c>
      <c r="F78" s="16">
        <v>0</v>
      </c>
      <c r="G78" s="16">
        <v>0</v>
      </c>
      <c r="H78" s="16"/>
      <c r="I78" s="39">
        <f>12256.33+20233.67</f>
        <v>32490</v>
      </c>
      <c r="J78" s="39"/>
      <c r="K78" s="39"/>
      <c r="L78" s="39"/>
      <c r="M78" s="39"/>
      <c r="N78" s="39"/>
    </row>
    <row r="79" spans="1:14" ht="33" customHeight="1" outlineLevel="1" x14ac:dyDescent="0.25">
      <c r="A79" s="213" t="s">
        <v>13</v>
      </c>
      <c r="B79" s="294"/>
      <c r="C79" s="234">
        <v>244</v>
      </c>
      <c r="D79" s="58" t="s">
        <v>124</v>
      </c>
      <c r="E79" s="16">
        <f t="shared" si="29"/>
        <v>939942.26</v>
      </c>
      <c r="F79" s="16">
        <v>552000</v>
      </c>
      <c r="G79" s="16">
        <v>552000</v>
      </c>
      <c r="H79" s="14"/>
      <c r="I79" s="39">
        <f>552000-50824.06-30800-73498+15595.96+80000-1299.11</f>
        <v>491174.79000000004</v>
      </c>
      <c r="J79" s="39">
        <v>416755.47</v>
      </c>
      <c r="K79" s="39">
        <f>32012</f>
        <v>32012</v>
      </c>
      <c r="L79" s="39"/>
      <c r="M79" s="39"/>
      <c r="N79" s="39"/>
    </row>
    <row r="80" spans="1:14" ht="38.25" customHeight="1" outlineLevel="1" x14ac:dyDescent="0.25">
      <c r="A80" s="213" t="s">
        <v>32</v>
      </c>
      <c r="B80" s="294"/>
      <c r="C80" s="234">
        <v>244</v>
      </c>
      <c r="D80" s="294" t="s">
        <v>125</v>
      </c>
      <c r="E80" s="16">
        <f t="shared" si="29"/>
        <v>0</v>
      </c>
      <c r="F80" s="16">
        <v>0</v>
      </c>
      <c r="G80" s="16">
        <v>0</v>
      </c>
      <c r="H80" s="16"/>
      <c r="I80" s="39"/>
      <c r="J80" s="39"/>
      <c r="K80" s="39"/>
      <c r="L80" s="39"/>
      <c r="M80" s="39"/>
      <c r="N80" s="39"/>
    </row>
    <row r="81" spans="1:14" ht="21" customHeight="1" outlineLevel="1" x14ac:dyDescent="0.25">
      <c r="A81" s="213" t="s">
        <v>25</v>
      </c>
      <c r="B81" s="294"/>
      <c r="C81" s="234">
        <v>244</v>
      </c>
      <c r="D81" s="294" t="s">
        <v>126</v>
      </c>
      <c r="E81" s="16">
        <f t="shared" si="29"/>
        <v>83233.289999999979</v>
      </c>
      <c r="F81" s="16">
        <v>88365</v>
      </c>
      <c r="G81" s="16">
        <v>88365</v>
      </c>
      <c r="H81" s="16"/>
      <c r="I81" s="39">
        <f>88365+47716.8-42652.55-14867.96+4672</f>
        <v>83233.289999999979</v>
      </c>
      <c r="J81" s="39"/>
      <c r="K81" s="39"/>
      <c r="L81" s="39"/>
      <c r="M81" s="39"/>
      <c r="N81" s="39"/>
    </row>
    <row r="82" spans="1:14" ht="25.5" customHeight="1" outlineLevel="1" x14ac:dyDescent="0.25">
      <c r="A82" s="213" t="s">
        <v>26</v>
      </c>
      <c r="B82" s="294"/>
      <c r="C82" s="234">
        <v>244</v>
      </c>
      <c r="D82" s="294" t="s">
        <v>127</v>
      </c>
      <c r="E82" s="16">
        <f t="shared" si="29"/>
        <v>0</v>
      </c>
      <c r="F82" s="16">
        <v>0</v>
      </c>
      <c r="G82" s="16">
        <v>0</v>
      </c>
      <c r="H82" s="16"/>
      <c r="I82" s="258"/>
      <c r="J82" s="39"/>
      <c r="K82" s="39"/>
      <c r="L82" s="39"/>
      <c r="M82" s="39"/>
      <c r="N82" s="39"/>
    </row>
    <row r="83" spans="1:14" ht="30.75" customHeight="1" outlineLevel="1" x14ac:dyDescent="0.25">
      <c r="A83" s="213" t="s">
        <v>27</v>
      </c>
      <c r="B83" s="294"/>
      <c r="C83" s="234">
        <v>244</v>
      </c>
      <c r="D83" s="294" t="s">
        <v>128</v>
      </c>
      <c r="E83" s="16">
        <f t="shared" si="29"/>
        <v>24602.01</v>
      </c>
      <c r="F83" s="16">
        <v>71760</v>
      </c>
      <c r="G83" s="16">
        <v>71760</v>
      </c>
      <c r="H83" s="16"/>
      <c r="I83" s="39">
        <f>71760-25000-22157.99</f>
        <v>24602.01</v>
      </c>
      <c r="J83" s="39"/>
      <c r="K83" s="39"/>
      <c r="L83" s="39"/>
      <c r="M83" s="39"/>
      <c r="N83" s="39"/>
    </row>
    <row r="84" spans="1:14" ht="40.5" customHeight="1" outlineLevel="1" x14ac:dyDescent="0.25">
      <c r="A84" s="213" t="s">
        <v>28</v>
      </c>
      <c r="B84" s="294"/>
      <c r="C84" s="234">
        <v>244</v>
      </c>
      <c r="D84" s="294" t="s">
        <v>129</v>
      </c>
      <c r="E84" s="16">
        <f t="shared" si="29"/>
        <v>457509.5</v>
      </c>
      <c r="F84" s="16">
        <v>42360</v>
      </c>
      <c r="G84" s="16">
        <v>42360</v>
      </c>
      <c r="H84" s="16"/>
      <c r="I84" s="287">
        <f>42360+31139.5+49245.34+30000-20189.34+3235+7000</f>
        <v>142790.5</v>
      </c>
      <c r="J84" s="39">
        <f>185000-48900-15100+126000</f>
        <v>247000</v>
      </c>
      <c r="K84" s="39">
        <f>50000+892-32012</f>
        <v>18880</v>
      </c>
      <c r="L84" s="39">
        <f>54817.32-5978.32</f>
        <v>48839</v>
      </c>
      <c r="M84" s="39"/>
      <c r="N84" s="39"/>
    </row>
    <row r="85" spans="1:14" ht="36.75" customHeight="1" outlineLevel="1" x14ac:dyDescent="0.25">
      <c r="A85" s="259" t="s">
        <v>208</v>
      </c>
      <c r="B85" s="294"/>
      <c r="C85" s="234">
        <v>244</v>
      </c>
      <c r="D85" s="294" t="s">
        <v>207</v>
      </c>
      <c r="E85" s="16">
        <f t="shared" si="29"/>
        <v>0</v>
      </c>
      <c r="F85" s="16">
        <v>0</v>
      </c>
      <c r="G85" s="16">
        <v>0</v>
      </c>
      <c r="H85" s="16"/>
      <c r="I85" s="39"/>
      <c r="J85" s="39"/>
      <c r="K85" s="39"/>
      <c r="L85" s="39"/>
      <c r="M85" s="39"/>
      <c r="N85" s="39"/>
    </row>
    <row r="86" spans="1:14" ht="36.75" customHeight="1" outlineLevel="1" x14ac:dyDescent="0.25">
      <c r="A86" s="213" t="s">
        <v>29</v>
      </c>
      <c r="B86" s="294"/>
      <c r="C86" s="234">
        <v>244</v>
      </c>
      <c r="D86" s="294" t="s">
        <v>130</v>
      </c>
      <c r="E86" s="16">
        <f t="shared" si="29"/>
        <v>434042.44000000006</v>
      </c>
      <c r="F86" s="16">
        <v>115380</v>
      </c>
      <c r="G86" s="16">
        <v>115380</v>
      </c>
      <c r="H86" s="16"/>
      <c r="I86" s="287">
        <f>115380+1293+15460.5-15422.3+6238.13+100000-7000</f>
        <v>215949.33000000002</v>
      </c>
      <c r="J86" s="39">
        <f>5868+48900+100272.85</f>
        <v>155040.85</v>
      </c>
      <c r="K86" s="39">
        <f>50000-4919-21280.62-14158.58</f>
        <v>9641.8000000000011</v>
      </c>
      <c r="L86" s="39">
        <f>53971-560.54</f>
        <v>53410.46</v>
      </c>
      <c r="M86" s="39"/>
      <c r="N86" s="39"/>
    </row>
    <row r="87" spans="1:14" ht="28.5" customHeight="1" outlineLevel="1" x14ac:dyDescent="0.25">
      <c r="A87" s="213" t="s">
        <v>10</v>
      </c>
      <c r="B87" s="294" t="s">
        <v>133</v>
      </c>
      <c r="C87" s="234">
        <v>247</v>
      </c>
      <c r="D87" s="294" t="s">
        <v>119</v>
      </c>
      <c r="E87" s="16">
        <f t="shared" si="29"/>
        <v>120000</v>
      </c>
      <c r="F87" s="16">
        <v>20000</v>
      </c>
      <c r="G87" s="16">
        <v>20000</v>
      </c>
      <c r="H87" s="16"/>
      <c r="I87" s="39">
        <v>20000</v>
      </c>
      <c r="J87" s="39">
        <f>1058107-958107</f>
        <v>100000</v>
      </c>
      <c r="K87" s="39"/>
      <c r="L87" s="39"/>
      <c r="M87" s="39"/>
      <c r="N87" s="39"/>
    </row>
    <row r="88" spans="1:14" ht="28.5" customHeight="1" outlineLevel="1" x14ac:dyDescent="0.25">
      <c r="A88" s="213" t="s">
        <v>266</v>
      </c>
      <c r="B88" s="294" t="s">
        <v>238</v>
      </c>
      <c r="C88" s="234">
        <v>410</v>
      </c>
      <c r="D88" s="294"/>
      <c r="E88" s="16"/>
      <c r="F88" s="16"/>
      <c r="G88" s="16">
        <v>0</v>
      </c>
      <c r="H88" s="16"/>
      <c r="I88" s="39"/>
      <c r="J88" s="39"/>
      <c r="K88" s="39"/>
      <c r="L88" s="39"/>
      <c r="M88" s="39"/>
      <c r="N88" s="39"/>
    </row>
    <row r="89" spans="1:14" ht="39.75" customHeight="1" x14ac:dyDescent="0.25">
      <c r="A89" s="213" t="s">
        <v>132</v>
      </c>
      <c r="B89" s="294" t="s">
        <v>238</v>
      </c>
      <c r="C89" s="234">
        <v>400</v>
      </c>
      <c r="D89" s="294"/>
      <c r="E89" s="16">
        <f t="shared" ref="E89:E91" si="30">I89+J89+K89</f>
        <v>0</v>
      </c>
      <c r="F89" s="16">
        <v>0</v>
      </c>
      <c r="G89" s="16">
        <v>0</v>
      </c>
      <c r="H89" s="16"/>
      <c r="I89" s="39"/>
      <c r="J89" s="39"/>
      <c r="K89" s="39"/>
      <c r="L89" s="39"/>
      <c r="M89" s="39"/>
      <c r="N89" s="39"/>
    </row>
    <row r="90" spans="1:14" ht="38.25" customHeight="1" x14ac:dyDescent="0.25">
      <c r="A90" s="213" t="s">
        <v>135</v>
      </c>
      <c r="B90" s="294" t="s">
        <v>239</v>
      </c>
      <c r="C90" s="234">
        <v>406</v>
      </c>
      <c r="D90" s="294"/>
      <c r="E90" s="16">
        <f t="shared" si="30"/>
        <v>0</v>
      </c>
      <c r="F90" s="16">
        <v>0</v>
      </c>
      <c r="G90" s="16">
        <v>0</v>
      </c>
      <c r="H90" s="16"/>
      <c r="I90" s="39"/>
      <c r="J90" s="39"/>
      <c r="K90" s="39"/>
      <c r="L90" s="39"/>
      <c r="M90" s="39"/>
      <c r="N90" s="39"/>
    </row>
    <row r="91" spans="1:14" ht="30.75" customHeight="1" x14ac:dyDescent="0.25">
      <c r="A91" s="213" t="s">
        <v>136</v>
      </c>
      <c r="B91" s="294" t="s">
        <v>240</v>
      </c>
      <c r="C91" s="234">
        <v>407</v>
      </c>
      <c r="D91" s="294"/>
      <c r="E91" s="16">
        <f t="shared" si="30"/>
        <v>0</v>
      </c>
      <c r="F91" s="16">
        <v>0</v>
      </c>
      <c r="G91" s="16">
        <v>0</v>
      </c>
      <c r="H91" s="16"/>
      <c r="I91" s="39"/>
      <c r="J91" s="39"/>
      <c r="K91" s="39"/>
      <c r="L91" s="39"/>
      <c r="M91" s="39"/>
      <c r="N91" s="39"/>
    </row>
    <row r="92" spans="1:14" ht="34.5" customHeight="1" x14ac:dyDescent="0.25">
      <c r="A92" s="243" t="s">
        <v>138</v>
      </c>
      <c r="B92" s="72" t="s">
        <v>139</v>
      </c>
      <c r="C92" s="244">
        <v>100</v>
      </c>
      <c r="D92" s="72"/>
      <c r="E92" s="73"/>
      <c r="F92" s="73"/>
      <c r="G92" s="73"/>
      <c r="H92" s="73"/>
      <c r="I92" s="73"/>
      <c r="J92" s="73"/>
      <c r="K92" s="73"/>
      <c r="L92" s="73"/>
      <c r="M92" s="39"/>
      <c r="N92" s="39"/>
    </row>
    <row r="93" spans="1:14" ht="27" customHeight="1" x14ac:dyDescent="0.25">
      <c r="A93" s="213" t="s">
        <v>140</v>
      </c>
      <c r="B93" s="294" t="s">
        <v>143</v>
      </c>
      <c r="C93" s="234"/>
      <c r="D93" s="294"/>
      <c r="E93" s="16"/>
      <c r="F93" s="16"/>
      <c r="G93" s="16"/>
      <c r="H93" s="16"/>
      <c r="I93" s="39"/>
      <c r="J93" s="39"/>
      <c r="K93" s="39"/>
      <c r="L93" s="39"/>
      <c r="M93" s="39"/>
      <c r="N93" s="39"/>
    </row>
    <row r="94" spans="1:14" ht="25.5" customHeight="1" x14ac:dyDescent="0.25">
      <c r="A94" s="213" t="s">
        <v>141</v>
      </c>
      <c r="B94" s="294" t="s">
        <v>144</v>
      </c>
      <c r="C94" s="234"/>
      <c r="D94" s="294"/>
      <c r="E94" s="16"/>
      <c r="F94" s="16"/>
      <c r="G94" s="16"/>
      <c r="H94" s="16"/>
      <c r="I94" s="39"/>
      <c r="J94" s="39"/>
      <c r="K94" s="39"/>
      <c r="L94" s="39"/>
      <c r="M94" s="39"/>
      <c r="N94" s="39"/>
    </row>
    <row r="95" spans="1:14" ht="31.5" customHeight="1" x14ac:dyDescent="0.25">
      <c r="A95" s="213" t="s">
        <v>142</v>
      </c>
      <c r="B95" s="294" t="s">
        <v>145</v>
      </c>
      <c r="C95" s="234"/>
      <c r="D95" s="294"/>
      <c r="E95" s="16"/>
      <c r="F95" s="16"/>
      <c r="G95" s="16"/>
      <c r="H95" s="16"/>
      <c r="I95" s="39"/>
      <c r="J95" s="39"/>
      <c r="K95" s="39"/>
      <c r="L95" s="39"/>
      <c r="M95" s="39"/>
      <c r="N95" s="39"/>
    </row>
    <row r="96" spans="1:14" ht="30" customHeight="1" x14ac:dyDescent="0.25">
      <c r="A96" s="243" t="s">
        <v>146</v>
      </c>
      <c r="B96" s="72" t="s">
        <v>148</v>
      </c>
      <c r="C96" s="244" t="s">
        <v>47</v>
      </c>
      <c r="D96" s="72"/>
      <c r="E96" s="73"/>
      <c r="F96" s="73"/>
      <c r="G96" s="73"/>
      <c r="H96" s="73"/>
      <c r="I96" s="73"/>
      <c r="J96" s="73"/>
      <c r="K96" s="73"/>
      <c r="L96" s="73"/>
      <c r="M96" s="39"/>
      <c r="N96" s="39"/>
    </row>
    <row r="97" spans="1:14" ht="47.25" customHeight="1" x14ac:dyDescent="0.25">
      <c r="A97" s="213" t="s">
        <v>147</v>
      </c>
      <c r="B97" s="294" t="s">
        <v>149</v>
      </c>
      <c r="C97" s="234">
        <v>610</v>
      </c>
      <c r="D97" s="294"/>
      <c r="E97" s="16"/>
      <c r="F97" s="16"/>
      <c r="G97" s="16"/>
      <c r="H97" s="16"/>
      <c r="I97" s="39"/>
      <c r="J97" s="39"/>
      <c r="K97" s="39"/>
      <c r="L97" s="39"/>
      <c r="M97" s="39"/>
      <c r="N97" s="39"/>
    </row>
  </sheetData>
  <autoFilter ref="A6:P6"/>
  <mergeCells count="9">
    <mergeCell ref="A63:A65"/>
    <mergeCell ref="B63:B65"/>
    <mergeCell ref="M5:N5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scale="38" fitToHeight="0" orientation="portrait" r:id="rId1"/>
  <rowBreaks count="1" manualBreakCount="1">
    <brk id="50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0"/>
  <sheetViews>
    <sheetView tabSelected="1" view="pageBreakPreview" topLeftCell="A13" zoomScaleNormal="100" zoomScaleSheetLayoutView="100" workbookViewId="0">
      <selection activeCell="E12" sqref="E12"/>
    </sheetView>
  </sheetViews>
  <sheetFormatPr defaultRowHeight="15" x14ac:dyDescent="0.25"/>
  <cols>
    <col min="1" max="1" width="11.28515625" style="195" customWidth="1"/>
    <col min="2" max="2" width="47.5703125" style="102" customWidth="1"/>
    <col min="3" max="3" width="8.28515625" style="194" customWidth="1"/>
    <col min="4" max="4" width="8" style="195" customWidth="1"/>
    <col min="5" max="5" width="13.140625" style="102" customWidth="1"/>
    <col min="6" max="6" width="13.85546875" style="102" customWidth="1"/>
    <col min="7" max="7" width="14" style="102" customWidth="1"/>
    <col min="8" max="8" width="13.140625" style="102" customWidth="1"/>
    <col min="9" max="16384" width="9.140625" style="102"/>
  </cols>
  <sheetData>
    <row r="1" spans="1:8" ht="12" customHeight="1" x14ac:dyDescent="0.25">
      <c r="B1" s="190"/>
      <c r="C1" s="191"/>
      <c r="D1" s="191"/>
      <c r="E1" s="190"/>
      <c r="F1" s="190"/>
      <c r="G1" s="190"/>
      <c r="H1" s="190"/>
    </row>
    <row r="2" spans="1:8" ht="23.25" customHeight="1" x14ac:dyDescent="0.25">
      <c r="B2" s="354" t="s">
        <v>262</v>
      </c>
      <c r="C2" s="354"/>
      <c r="D2" s="354"/>
      <c r="E2" s="354"/>
      <c r="F2" s="354"/>
      <c r="G2" s="354"/>
      <c r="H2" s="191"/>
    </row>
    <row r="3" spans="1:8" x14ac:dyDescent="0.25">
      <c r="B3" s="358"/>
      <c r="C3" s="358"/>
      <c r="D3" s="358"/>
      <c r="E3" s="358"/>
      <c r="F3" s="358"/>
      <c r="G3" s="358"/>
      <c r="H3" s="358"/>
    </row>
    <row r="4" spans="1:8" ht="21.75" customHeight="1" x14ac:dyDescent="0.25">
      <c r="A4" s="356" t="s">
        <v>205</v>
      </c>
      <c r="B4" s="359" t="s">
        <v>0</v>
      </c>
      <c r="C4" s="359" t="s">
        <v>204</v>
      </c>
      <c r="D4" s="359" t="s">
        <v>203</v>
      </c>
      <c r="E4" s="355" t="s">
        <v>202</v>
      </c>
      <c r="F4" s="355"/>
      <c r="G4" s="355"/>
      <c r="H4" s="355"/>
    </row>
    <row r="5" spans="1:8" ht="69.75" customHeight="1" x14ac:dyDescent="0.25">
      <c r="A5" s="356"/>
      <c r="B5" s="359"/>
      <c r="C5" s="359"/>
      <c r="D5" s="359"/>
      <c r="E5" s="108" t="s">
        <v>272</v>
      </c>
      <c r="F5" s="108" t="s">
        <v>273</v>
      </c>
      <c r="G5" s="108" t="s">
        <v>274</v>
      </c>
      <c r="H5" s="108" t="s">
        <v>42</v>
      </c>
    </row>
    <row r="6" spans="1:8" x14ac:dyDescent="0.25">
      <c r="A6" s="179">
        <v>1</v>
      </c>
      <c r="B6" s="108">
        <v>2</v>
      </c>
      <c r="C6" s="180">
        <v>3</v>
      </c>
      <c r="D6" s="180">
        <v>4</v>
      </c>
      <c r="E6" s="108">
        <v>5</v>
      </c>
      <c r="F6" s="108">
        <v>6</v>
      </c>
      <c r="G6" s="108">
        <v>7</v>
      </c>
      <c r="H6" s="108">
        <v>8</v>
      </c>
    </row>
    <row r="7" spans="1:8" ht="30" x14ac:dyDescent="0.25">
      <c r="A7" s="179">
        <v>1</v>
      </c>
      <c r="B7" s="107" t="s">
        <v>201</v>
      </c>
      <c r="C7" s="180">
        <v>26000</v>
      </c>
      <c r="D7" s="180" t="s">
        <v>4</v>
      </c>
      <c r="E7" s="173">
        <f>E8+E9+E10+E11</f>
        <v>38969773.880000003</v>
      </c>
      <c r="F7" s="173">
        <f>F8+F9+F10+F11</f>
        <v>40098763.5</v>
      </c>
      <c r="G7" s="173">
        <f>G8+G9+G10+G11</f>
        <v>44835563.5</v>
      </c>
      <c r="H7" s="104"/>
    </row>
    <row r="8" spans="1:8" ht="109.5" customHeight="1" x14ac:dyDescent="0.25">
      <c r="A8" s="196" t="s">
        <v>200</v>
      </c>
      <c r="B8" s="107" t="s">
        <v>199</v>
      </c>
      <c r="C8" s="180">
        <v>26100</v>
      </c>
      <c r="D8" s="180" t="s">
        <v>4</v>
      </c>
      <c r="E8" s="163"/>
      <c r="F8" s="163"/>
      <c r="G8" s="163"/>
      <c r="H8" s="107"/>
    </row>
    <row r="9" spans="1:8" ht="48" x14ac:dyDescent="0.25">
      <c r="A9" s="196" t="s">
        <v>198</v>
      </c>
      <c r="B9" s="106" t="s">
        <v>197</v>
      </c>
      <c r="C9" s="180">
        <v>26200</v>
      </c>
      <c r="D9" s="180" t="s">
        <v>4</v>
      </c>
      <c r="E9" s="163"/>
      <c r="F9" s="163"/>
      <c r="G9" s="163"/>
      <c r="H9" s="107"/>
    </row>
    <row r="10" spans="1:8" s="109" customFormat="1" ht="36" x14ac:dyDescent="0.25">
      <c r="A10" s="197" t="s">
        <v>196</v>
      </c>
      <c r="B10" s="113" t="s">
        <v>195</v>
      </c>
      <c r="C10" s="111">
        <v>26300</v>
      </c>
      <c r="D10" s="111" t="s">
        <v>4</v>
      </c>
      <c r="E10" s="174"/>
      <c r="F10" s="175"/>
      <c r="G10" s="175"/>
      <c r="H10" s="110"/>
    </row>
    <row r="11" spans="1:8" ht="48" x14ac:dyDescent="0.25">
      <c r="A11" s="196" t="s">
        <v>194</v>
      </c>
      <c r="B11" s="106" t="s">
        <v>193</v>
      </c>
      <c r="C11" s="180">
        <v>26400</v>
      </c>
      <c r="D11" s="180" t="s">
        <v>4</v>
      </c>
      <c r="E11" s="173">
        <f>E12+E15+E18+E19</f>
        <v>38969773.880000003</v>
      </c>
      <c r="F11" s="173">
        <f>F12+F15+F18+F19</f>
        <v>40098763.5</v>
      </c>
      <c r="G11" s="173">
        <f>G12+G15+G18+G19</f>
        <v>44835563.5</v>
      </c>
      <c r="H11" s="104"/>
    </row>
    <row r="12" spans="1:8" ht="38.25" customHeight="1" x14ac:dyDescent="0.25">
      <c r="A12" s="196" t="s">
        <v>192</v>
      </c>
      <c r="B12" s="106" t="s">
        <v>191</v>
      </c>
      <c r="C12" s="180">
        <v>26410</v>
      </c>
      <c r="D12" s="180" t="s">
        <v>4</v>
      </c>
      <c r="E12" s="173">
        <f>E13+E14</f>
        <v>27000257</v>
      </c>
      <c r="F12" s="173">
        <f>F13+F14</f>
        <v>29380557</v>
      </c>
      <c r="G12" s="173">
        <f>G13+G14</f>
        <v>29380557</v>
      </c>
      <c r="H12" s="104"/>
    </row>
    <row r="13" spans="1:8" s="109" customFormat="1" ht="28.5" customHeight="1" x14ac:dyDescent="0.25">
      <c r="A13" s="197" t="s">
        <v>190</v>
      </c>
      <c r="B13" s="112" t="s">
        <v>178</v>
      </c>
      <c r="C13" s="111">
        <v>26411</v>
      </c>
      <c r="D13" s="111" t="s">
        <v>4</v>
      </c>
      <c r="E13" s="176"/>
      <c r="F13" s="176"/>
      <c r="G13" s="176"/>
      <c r="H13" s="110"/>
    </row>
    <row r="14" spans="1:8" x14ac:dyDescent="0.25">
      <c r="A14" s="196" t="s">
        <v>189</v>
      </c>
      <c r="B14" s="106" t="s">
        <v>184</v>
      </c>
      <c r="C14" s="180">
        <v>26412</v>
      </c>
      <c r="D14" s="180" t="s">
        <v>4</v>
      </c>
      <c r="E14" s="173">
        <f>'Разд 1.1 МЗ '!E60</f>
        <v>27000257</v>
      </c>
      <c r="F14" s="173">
        <f>'Разд 1.1 МЗ '!F61</f>
        <v>29380557</v>
      </c>
      <c r="G14" s="173">
        <f>'Разд 1.1 МЗ '!G61</f>
        <v>29380557</v>
      </c>
      <c r="H14" s="104"/>
    </row>
    <row r="15" spans="1:8" ht="36" x14ac:dyDescent="0.25">
      <c r="A15" s="196" t="s">
        <v>188</v>
      </c>
      <c r="B15" s="106" t="s">
        <v>187</v>
      </c>
      <c r="C15" s="180">
        <v>26420</v>
      </c>
      <c r="D15" s="180" t="s">
        <v>4</v>
      </c>
      <c r="E15" s="173">
        <f>E16+E17</f>
        <v>7345166</v>
      </c>
      <c r="F15" s="173">
        <f>F16+F17</f>
        <v>9382800.0000000019</v>
      </c>
      <c r="G15" s="173">
        <f>G16+G17</f>
        <v>14119600</v>
      </c>
      <c r="H15" s="104"/>
    </row>
    <row r="16" spans="1:8" ht="26.25" customHeight="1" x14ac:dyDescent="0.25">
      <c r="A16" s="196" t="s">
        <v>186</v>
      </c>
      <c r="B16" s="106" t="s">
        <v>178</v>
      </c>
      <c r="C16" s="180">
        <v>26421</v>
      </c>
      <c r="D16" s="180" t="s">
        <v>4</v>
      </c>
      <c r="E16" s="177"/>
      <c r="F16" s="177"/>
      <c r="G16" s="177"/>
      <c r="H16" s="104"/>
    </row>
    <row r="17" spans="1:8" x14ac:dyDescent="0.25">
      <c r="A17" s="196" t="s">
        <v>185</v>
      </c>
      <c r="B17" s="106" t="s">
        <v>184</v>
      </c>
      <c r="C17" s="180">
        <v>26422</v>
      </c>
      <c r="D17" s="180" t="s">
        <v>4</v>
      </c>
      <c r="E17" s="173">
        <f>'Разд 1.2 ИЦ'!E58</f>
        <v>7345166</v>
      </c>
      <c r="F17" s="173">
        <f>'Разд 1.2 ИЦ'!F58</f>
        <v>9382800.0000000019</v>
      </c>
      <c r="G17" s="173">
        <f>'Разд 1.2 ИЦ'!G58</f>
        <v>14119600</v>
      </c>
      <c r="H17" s="104"/>
    </row>
    <row r="18" spans="1:8" ht="24" x14ac:dyDescent="0.25">
      <c r="A18" s="196" t="s">
        <v>183</v>
      </c>
      <c r="B18" s="106" t="s">
        <v>182</v>
      </c>
      <c r="C18" s="180">
        <v>26430</v>
      </c>
      <c r="D18" s="180" t="s">
        <v>4</v>
      </c>
      <c r="E18" s="173"/>
      <c r="F18" s="178"/>
      <c r="G18" s="178"/>
      <c r="H18" s="104"/>
    </row>
    <row r="19" spans="1:8" x14ac:dyDescent="0.25">
      <c r="A19" s="196" t="s">
        <v>181</v>
      </c>
      <c r="B19" s="106" t="s">
        <v>180</v>
      </c>
      <c r="C19" s="180">
        <v>26450</v>
      </c>
      <c r="D19" s="180" t="s">
        <v>4</v>
      </c>
      <c r="E19" s="173">
        <f>E20+E21</f>
        <v>4624350.88</v>
      </c>
      <c r="F19" s="173">
        <f>F20+F21</f>
        <v>1335406.5</v>
      </c>
      <c r="G19" s="173">
        <f>G20+G21</f>
        <v>1335406.5</v>
      </c>
      <c r="H19" s="104"/>
    </row>
    <row r="20" spans="1:8" ht="27.75" customHeight="1" x14ac:dyDescent="0.25">
      <c r="A20" s="196" t="s">
        <v>179</v>
      </c>
      <c r="B20" s="106" t="s">
        <v>178</v>
      </c>
      <c r="C20" s="180">
        <v>26451</v>
      </c>
      <c r="D20" s="180" t="s">
        <v>4</v>
      </c>
      <c r="E20" s="177"/>
      <c r="F20" s="177"/>
      <c r="G20" s="177"/>
      <c r="H20" s="104"/>
    </row>
    <row r="21" spans="1:8" x14ac:dyDescent="0.25">
      <c r="A21" s="196" t="s">
        <v>177</v>
      </c>
      <c r="B21" s="106" t="s">
        <v>176</v>
      </c>
      <c r="C21" s="180">
        <v>26452</v>
      </c>
      <c r="D21" s="180" t="s">
        <v>4</v>
      </c>
      <c r="E21" s="173">
        <f>'Разд 1.3 ПДД'!E68</f>
        <v>4624350.88</v>
      </c>
      <c r="F21" s="173">
        <f>'Разд 1.3 ПДД'!F68</f>
        <v>1335406.5</v>
      </c>
      <c r="G21" s="173">
        <f>'Разд 1.3 ПДД'!G68</f>
        <v>1335406.5</v>
      </c>
      <c r="H21" s="104"/>
    </row>
    <row r="22" spans="1:8" ht="48" x14ac:dyDescent="0.25">
      <c r="A22" s="196" t="s">
        <v>175</v>
      </c>
      <c r="B22" s="106" t="s">
        <v>174</v>
      </c>
      <c r="C22" s="180">
        <v>26500</v>
      </c>
      <c r="D22" s="180" t="s">
        <v>4</v>
      </c>
      <c r="E22" s="173"/>
      <c r="F22" s="173"/>
      <c r="G22" s="173"/>
      <c r="H22" s="104"/>
    </row>
    <row r="23" spans="1:8" x14ac:dyDescent="0.25">
      <c r="A23" s="196"/>
      <c r="B23" s="106" t="s">
        <v>171</v>
      </c>
      <c r="C23" s="180">
        <v>26510</v>
      </c>
      <c r="D23" s="180"/>
      <c r="E23" s="173"/>
      <c r="F23" s="173"/>
      <c r="G23" s="173"/>
      <c r="H23" s="104"/>
    </row>
    <row r="24" spans="1:8" ht="48" x14ac:dyDescent="0.25">
      <c r="A24" s="196" t="s">
        <v>173</v>
      </c>
      <c r="B24" s="106" t="s">
        <v>172</v>
      </c>
      <c r="C24" s="180">
        <v>26600</v>
      </c>
      <c r="D24" s="180" t="s">
        <v>4</v>
      </c>
      <c r="E24" s="173">
        <f>E7</f>
        <v>38969773.880000003</v>
      </c>
      <c r="F24" s="173">
        <f t="shared" ref="F24:G24" si="0">F7</f>
        <v>40098763.5</v>
      </c>
      <c r="G24" s="173">
        <f t="shared" si="0"/>
        <v>44835563.5</v>
      </c>
      <c r="H24" s="104"/>
    </row>
    <row r="25" spans="1:8" x14ac:dyDescent="0.25">
      <c r="A25" s="196"/>
      <c r="B25" s="106" t="s">
        <v>171</v>
      </c>
      <c r="C25" s="180">
        <v>26610</v>
      </c>
      <c r="D25" s="180"/>
      <c r="E25" s="104"/>
      <c r="F25" s="105"/>
      <c r="G25" s="105"/>
      <c r="H25" s="104"/>
    </row>
    <row r="27" spans="1:8" x14ac:dyDescent="0.25">
      <c r="A27" s="360" t="s">
        <v>280</v>
      </c>
      <c r="B27" s="360"/>
      <c r="C27" s="360"/>
      <c r="D27" s="360"/>
      <c r="E27" s="360"/>
    </row>
    <row r="28" spans="1:8" x14ac:dyDescent="0.25">
      <c r="B28" s="103"/>
    </row>
    <row r="29" spans="1:8" x14ac:dyDescent="0.25">
      <c r="A29" s="360" t="s">
        <v>281</v>
      </c>
      <c r="B29" s="360"/>
      <c r="C29" s="360"/>
      <c r="D29" s="360"/>
    </row>
    <row r="30" spans="1:8" x14ac:dyDescent="0.25">
      <c r="B30" s="103"/>
    </row>
    <row r="31" spans="1:8" x14ac:dyDescent="0.25">
      <c r="B31" s="199" t="str">
        <f>титульник!B13</f>
        <v>от 24  июля   2023 года</v>
      </c>
    </row>
    <row r="34" spans="1:2" x14ac:dyDescent="0.25">
      <c r="A34" s="365" t="s">
        <v>241</v>
      </c>
      <c r="B34" s="366"/>
    </row>
    <row r="35" spans="1:2" x14ac:dyDescent="0.25">
      <c r="A35" s="357" t="s">
        <v>289</v>
      </c>
      <c r="B35" s="357"/>
    </row>
    <row r="36" spans="1:2" x14ac:dyDescent="0.25">
      <c r="A36" s="361" t="s">
        <v>170</v>
      </c>
      <c r="B36" s="362"/>
    </row>
    <row r="37" spans="1:2" x14ac:dyDescent="0.25">
      <c r="A37" s="198"/>
      <c r="B37" s="192" t="s">
        <v>290</v>
      </c>
    </row>
    <row r="38" spans="1:2" x14ac:dyDescent="0.25">
      <c r="A38" s="363" t="s">
        <v>169</v>
      </c>
      <c r="B38" s="364"/>
    </row>
    <row r="39" spans="1:2" x14ac:dyDescent="0.25">
      <c r="A39" s="369" t="str">
        <f>титульник!B13</f>
        <v>от 24  июля   2023 года</v>
      </c>
      <c r="B39" s="370"/>
    </row>
    <row r="40" spans="1:2" x14ac:dyDescent="0.25">
      <c r="A40" s="367"/>
      <c r="B40" s="368"/>
    </row>
  </sheetData>
  <mergeCells count="15">
    <mergeCell ref="A36:B36"/>
    <mergeCell ref="A38:B38"/>
    <mergeCell ref="A34:B34"/>
    <mergeCell ref="A40:B40"/>
    <mergeCell ref="A39:B39"/>
    <mergeCell ref="B2:G2"/>
    <mergeCell ref="E4:H4"/>
    <mergeCell ref="A4:A5"/>
    <mergeCell ref="A35:B35"/>
    <mergeCell ref="B3:H3"/>
    <mergeCell ref="B4:B5"/>
    <mergeCell ref="C4:C5"/>
    <mergeCell ref="D4:D5"/>
    <mergeCell ref="A29:D29"/>
    <mergeCell ref="A27:E27"/>
  </mergeCells>
  <hyperlinks>
    <hyperlink ref="E4" r:id="rId1" display="consultantplus://offline/ref=5A5D99AB28FABFA4A29B38CDE5F8550A2DA74BE9F1FDE8B452D6B02352wEo4E"/>
  </hyperlinks>
  <pageMargins left="0.7" right="0.7" top="0.75" bottom="0.75" header="0.3" footer="0.3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39"/>
  <sheetViews>
    <sheetView zoomScale="85" zoomScaleNormal="85" workbookViewId="0">
      <pane xSplit="2" topLeftCell="C1" activePane="topRight" state="frozen"/>
      <selection pane="topRight" activeCell="J42" sqref="J42"/>
    </sheetView>
  </sheetViews>
  <sheetFormatPr defaultRowHeight="15" x14ac:dyDescent="0.25"/>
  <cols>
    <col min="1" max="2" width="9.140625" style="115"/>
    <col min="3" max="3" width="13.140625" customWidth="1"/>
    <col min="4" max="5" width="13.85546875" customWidth="1"/>
    <col min="6" max="7" width="14.28515625" customWidth="1"/>
    <col min="8" max="8" width="11" customWidth="1"/>
    <col min="9" max="9" width="12.28515625" customWidth="1"/>
    <col min="10" max="10" width="11.85546875" customWidth="1"/>
    <col min="11" max="11" width="11.7109375" customWidth="1"/>
    <col min="12" max="12" width="14.28515625" customWidth="1"/>
    <col min="13" max="14" width="11.42578125" customWidth="1"/>
    <col min="15" max="15" width="11.5703125" customWidth="1"/>
    <col min="16" max="16" width="12.42578125" customWidth="1"/>
    <col min="17" max="17" width="14" customWidth="1"/>
    <col min="18" max="19" width="14.7109375" customWidth="1"/>
    <col min="22" max="22" width="13.28515625" customWidth="1"/>
    <col min="23" max="23" width="12.42578125" customWidth="1"/>
    <col min="24" max="24" width="14" customWidth="1"/>
    <col min="25" max="26" width="13.140625" customWidth="1"/>
    <col min="27" max="27" width="14.42578125" customWidth="1"/>
    <col min="28" max="28" width="16.28515625" customWidth="1"/>
    <col min="29" max="29" width="14.42578125" customWidth="1"/>
    <col min="32" max="32" width="12.5703125" customWidth="1"/>
    <col min="33" max="33" width="12.140625" customWidth="1"/>
    <col min="34" max="34" width="11.42578125" customWidth="1"/>
    <col min="35" max="35" width="14.28515625" customWidth="1"/>
    <col min="36" max="37" width="12.5703125" customWidth="1"/>
  </cols>
  <sheetData>
    <row r="3" spans="1:37" x14ac:dyDescent="0.25">
      <c r="A3" s="382" t="s">
        <v>223</v>
      </c>
      <c r="B3" s="382" t="s">
        <v>224</v>
      </c>
      <c r="C3" s="387">
        <v>2020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71">
        <v>2021</v>
      </c>
      <c r="S3" s="371"/>
      <c r="T3" s="371"/>
      <c r="U3" s="371"/>
      <c r="V3" s="371"/>
      <c r="W3" s="371"/>
      <c r="X3" s="371"/>
      <c r="Y3" s="371"/>
      <c r="Z3" s="371"/>
      <c r="AA3" s="371"/>
      <c r="AB3" s="388">
        <v>2022</v>
      </c>
      <c r="AC3" s="388"/>
      <c r="AD3" s="388"/>
      <c r="AE3" s="388"/>
      <c r="AF3" s="388"/>
      <c r="AG3" s="388"/>
      <c r="AH3" s="388"/>
      <c r="AI3" s="388"/>
      <c r="AJ3" s="388"/>
      <c r="AK3" s="388"/>
    </row>
    <row r="4" spans="1:37" x14ac:dyDescent="0.25">
      <c r="A4" s="382"/>
      <c r="B4" s="382"/>
      <c r="C4" s="386" t="s">
        <v>165</v>
      </c>
      <c r="D4" s="386"/>
      <c r="E4" s="386"/>
      <c r="F4" s="386"/>
      <c r="G4" s="373" t="s">
        <v>219</v>
      </c>
      <c r="H4" s="383" t="s">
        <v>218</v>
      </c>
      <c r="I4" s="384"/>
      <c r="J4" s="384"/>
      <c r="K4" s="385"/>
      <c r="L4" s="373" t="s">
        <v>220</v>
      </c>
      <c r="M4" s="386" t="s">
        <v>217</v>
      </c>
      <c r="N4" s="386"/>
      <c r="O4" s="386"/>
      <c r="P4" s="386"/>
      <c r="Q4" s="373" t="s">
        <v>222</v>
      </c>
      <c r="R4" s="116" t="s">
        <v>165</v>
      </c>
      <c r="S4" s="373" t="s">
        <v>219</v>
      </c>
      <c r="T4" s="376" t="s">
        <v>218</v>
      </c>
      <c r="U4" s="381"/>
      <c r="V4" s="381"/>
      <c r="W4" s="377"/>
      <c r="X4" s="378" t="s">
        <v>220</v>
      </c>
      <c r="Y4" s="372" t="s">
        <v>217</v>
      </c>
      <c r="Z4" s="372"/>
      <c r="AA4" s="373" t="s">
        <v>222</v>
      </c>
      <c r="AB4" s="130" t="s">
        <v>165</v>
      </c>
      <c r="AC4" s="373" t="s">
        <v>219</v>
      </c>
      <c r="AD4" s="376" t="s">
        <v>218</v>
      </c>
      <c r="AE4" s="381"/>
      <c r="AF4" s="381"/>
      <c r="AG4" s="377"/>
      <c r="AH4" s="378" t="s">
        <v>220</v>
      </c>
      <c r="AI4" s="372" t="s">
        <v>217</v>
      </c>
      <c r="AJ4" s="372"/>
      <c r="AK4" s="373" t="s">
        <v>222</v>
      </c>
    </row>
    <row r="5" spans="1:37" x14ac:dyDescent="0.25">
      <c r="A5" s="382"/>
      <c r="B5" s="382"/>
      <c r="C5" s="116">
        <v>703</v>
      </c>
      <c r="D5" s="376">
        <v>707</v>
      </c>
      <c r="E5" s="377"/>
      <c r="F5" s="116">
        <v>1101</v>
      </c>
      <c r="G5" s="374"/>
      <c r="H5" s="116">
        <v>412</v>
      </c>
      <c r="I5" s="116">
        <v>703</v>
      </c>
      <c r="J5" s="376">
        <v>1101</v>
      </c>
      <c r="K5" s="377"/>
      <c r="L5" s="374"/>
      <c r="M5" s="376">
        <v>703</v>
      </c>
      <c r="N5" s="381"/>
      <c r="O5" s="381">
        <v>1101</v>
      </c>
      <c r="P5" s="377"/>
      <c r="Q5" s="374"/>
      <c r="R5" s="116">
        <v>1101</v>
      </c>
      <c r="S5" s="374"/>
      <c r="T5" s="116">
        <v>412</v>
      </c>
      <c r="U5" s="116">
        <v>703</v>
      </c>
      <c r="V5" s="376">
        <v>1101</v>
      </c>
      <c r="W5" s="377"/>
      <c r="X5" s="379"/>
      <c r="Y5" s="116">
        <v>703</v>
      </c>
      <c r="Z5" s="117">
        <v>1101</v>
      </c>
      <c r="AA5" s="374"/>
      <c r="AB5" s="130">
        <v>1101</v>
      </c>
      <c r="AC5" s="374"/>
      <c r="AD5" s="130">
        <v>412</v>
      </c>
      <c r="AE5" s="130">
        <v>703</v>
      </c>
      <c r="AF5" s="376">
        <v>1101</v>
      </c>
      <c r="AG5" s="377"/>
      <c r="AH5" s="379"/>
      <c r="AI5" s="130">
        <v>703</v>
      </c>
      <c r="AJ5" s="129">
        <v>1101</v>
      </c>
      <c r="AK5" s="374"/>
    </row>
    <row r="6" spans="1:37" x14ac:dyDescent="0.25">
      <c r="A6" s="382"/>
      <c r="B6" s="382"/>
      <c r="C6" s="99" t="s">
        <v>225</v>
      </c>
      <c r="D6" s="99" t="s">
        <v>225</v>
      </c>
      <c r="E6" s="99" t="s">
        <v>221</v>
      </c>
      <c r="F6" s="99" t="s">
        <v>225</v>
      </c>
      <c r="G6" s="375"/>
      <c r="H6" s="99" t="s">
        <v>225</v>
      </c>
      <c r="I6" s="99" t="s">
        <v>225</v>
      </c>
      <c r="J6" s="99" t="s">
        <v>226</v>
      </c>
      <c r="K6" s="99" t="s">
        <v>227</v>
      </c>
      <c r="L6" s="375"/>
      <c r="M6" s="99" t="s">
        <v>160</v>
      </c>
      <c r="N6" s="99" t="s">
        <v>229</v>
      </c>
      <c r="O6" s="99" t="s">
        <v>229</v>
      </c>
      <c r="P6" s="99" t="s">
        <v>221</v>
      </c>
      <c r="Q6" s="375"/>
      <c r="R6" s="99" t="s">
        <v>228</v>
      </c>
      <c r="S6" s="375"/>
      <c r="T6" s="99" t="s">
        <v>228</v>
      </c>
      <c r="U6" s="99" t="s">
        <v>228</v>
      </c>
      <c r="V6" s="99" t="s">
        <v>228</v>
      </c>
      <c r="W6" s="99" t="s">
        <v>227</v>
      </c>
      <c r="X6" s="380"/>
      <c r="Y6" s="99" t="s">
        <v>160</v>
      </c>
      <c r="Z6" s="99" t="s">
        <v>229</v>
      </c>
      <c r="AA6" s="375"/>
      <c r="AB6" s="99" t="s">
        <v>228</v>
      </c>
      <c r="AC6" s="375"/>
      <c r="AD6" s="99" t="s">
        <v>228</v>
      </c>
      <c r="AE6" s="99" t="s">
        <v>228</v>
      </c>
      <c r="AF6" s="99" t="s">
        <v>228</v>
      </c>
      <c r="AG6" s="99" t="s">
        <v>227</v>
      </c>
      <c r="AH6" s="380"/>
      <c r="AI6" s="99" t="s">
        <v>160</v>
      </c>
      <c r="AJ6" s="99" t="s">
        <v>229</v>
      </c>
      <c r="AK6" s="375"/>
    </row>
    <row r="7" spans="1:37" x14ac:dyDescent="0.25">
      <c r="A7" s="116">
        <v>111</v>
      </c>
      <c r="B7" s="116" t="s">
        <v>97</v>
      </c>
      <c r="C7" s="100">
        <f>'Разд 1.1 МЗ '!I37</f>
        <v>0</v>
      </c>
      <c r="D7" s="100">
        <f>'Разд 1.1 МЗ '!J38</f>
        <v>0</v>
      </c>
      <c r="E7" s="100"/>
      <c r="F7" s="100">
        <f>'Разд 1.1 МЗ '!L37</f>
        <v>108598400</v>
      </c>
      <c r="G7" s="120">
        <f>C7+D7+E7+F7</f>
        <v>108598400</v>
      </c>
      <c r="H7" s="99"/>
      <c r="I7" s="99"/>
      <c r="J7" s="99"/>
      <c r="K7" s="99"/>
      <c r="L7" s="121">
        <f>H7+I7+J7+K7</f>
        <v>0</v>
      </c>
      <c r="M7" s="100">
        <f>'Разд 1.3 ПДД'!I43</f>
        <v>511894.30000000005</v>
      </c>
      <c r="N7" s="100"/>
      <c r="O7" s="100">
        <f>'Разд 1.3 ПДД'!J43</f>
        <v>1174936.4300000002</v>
      </c>
      <c r="P7" s="100">
        <f>'Разд 1.3 ПДД'!K43</f>
        <v>0</v>
      </c>
      <c r="Q7" s="120">
        <f>M7+N7+O7+P7</f>
        <v>1686830.7300000002</v>
      </c>
      <c r="R7" s="100">
        <f>'Разд 1.1 МЗ '!F37</f>
        <v>106098400</v>
      </c>
      <c r="S7" s="120">
        <f>R7</f>
        <v>106098400</v>
      </c>
      <c r="T7" s="100" t="e">
        <f>'Разд 1.2 ИЦ'!#REF!</f>
        <v>#REF!</v>
      </c>
      <c r="U7" s="100" t="e">
        <f>'Разд 1.2 ИЦ'!#REF!</f>
        <v>#REF!</v>
      </c>
      <c r="V7" s="100" t="e">
        <f>'Разд 1.2 ИЦ'!#REF!</f>
        <v>#REF!</v>
      </c>
      <c r="W7" s="100" t="e">
        <f>'Разд 1.2 ИЦ'!#REF!</f>
        <v>#REF!</v>
      </c>
      <c r="X7" s="127" t="e">
        <f>T7+U7+V7+W7</f>
        <v>#REF!</v>
      </c>
      <c r="Y7" s="100">
        <f>'Разд 1.3 ПДД'!M43</f>
        <v>0</v>
      </c>
      <c r="Z7" s="100">
        <f>'Разд 1.3 ПДД'!N43</f>
        <v>0</v>
      </c>
      <c r="AA7" s="120">
        <f>Y7+Z7</f>
        <v>0</v>
      </c>
      <c r="AB7" s="100">
        <f>'Разд 1.1 МЗ '!G37</f>
        <v>106098400</v>
      </c>
      <c r="AC7" s="120">
        <f>AB7</f>
        <v>106098400</v>
      </c>
      <c r="AD7" s="100"/>
      <c r="AE7" s="100"/>
      <c r="AF7" s="100"/>
      <c r="AG7" s="100"/>
      <c r="AH7" s="131">
        <f>AD7+AE7+AF7+AG7</f>
        <v>0</v>
      </c>
      <c r="AI7" s="100">
        <f>Лист2!Y7</f>
        <v>0</v>
      </c>
      <c r="AJ7" s="100">
        <f>Лист2!Z7</f>
        <v>0</v>
      </c>
      <c r="AK7" s="120">
        <f>AI7+AJ7</f>
        <v>0</v>
      </c>
    </row>
    <row r="8" spans="1:37" x14ac:dyDescent="0.25">
      <c r="A8" s="116">
        <v>111</v>
      </c>
      <c r="B8" s="116" t="s">
        <v>96</v>
      </c>
      <c r="C8" s="100">
        <f>'Разд 1.1 МЗ '!I39</f>
        <v>0</v>
      </c>
      <c r="D8" s="99"/>
      <c r="E8" s="99"/>
      <c r="F8" s="100">
        <f>'Разд 1.1 МЗ '!L39</f>
        <v>573943</v>
      </c>
      <c r="G8" s="120">
        <f t="shared" ref="G8:G37" si="0">C8+D8+E8+F8</f>
        <v>573943</v>
      </c>
      <c r="H8" s="99"/>
      <c r="I8" s="99"/>
      <c r="J8" s="99"/>
      <c r="K8" s="99"/>
      <c r="L8" s="121">
        <f t="shared" ref="L8:L37" si="1">H8+I8+J8+K8</f>
        <v>0</v>
      </c>
      <c r="M8" s="99"/>
      <c r="N8" s="99"/>
      <c r="O8" s="99"/>
      <c r="P8" s="99"/>
      <c r="Q8" s="120">
        <f t="shared" ref="Q8:Q37" si="2">M8+N8+O8+P8</f>
        <v>0</v>
      </c>
      <c r="R8" s="100">
        <f>'Разд 1.1 МЗ '!F39</f>
        <v>573943</v>
      </c>
      <c r="S8" s="120">
        <f t="shared" ref="S8:S37" si="3">R8</f>
        <v>573943</v>
      </c>
      <c r="T8" s="100" t="e">
        <f>'Разд 1.2 ИЦ'!#REF!</f>
        <v>#REF!</v>
      </c>
      <c r="U8" s="100" t="e">
        <f>'Разд 1.2 ИЦ'!#REF!</f>
        <v>#REF!</v>
      </c>
      <c r="V8" s="100" t="e">
        <f>'Разд 1.2 ИЦ'!#REF!</f>
        <v>#REF!</v>
      </c>
      <c r="W8" s="100" t="e">
        <f>'Разд 1.2 ИЦ'!#REF!</f>
        <v>#REF!</v>
      </c>
      <c r="X8" s="127" t="e">
        <f t="shared" ref="X8:X37" si="4">T8+U8+V8+W8</f>
        <v>#REF!</v>
      </c>
      <c r="Y8" s="99"/>
      <c r="Z8" s="99"/>
      <c r="AA8" s="120">
        <f t="shared" ref="AA8:AA37" si="5">Y8+Z8</f>
        <v>0</v>
      </c>
      <c r="AB8" s="100">
        <f>'Разд 1.1 МЗ '!G39</f>
        <v>573943</v>
      </c>
      <c r="AC8" s="120">
        <f t="shared" ref="AC8:AC37" si="6">AB8</f>
        <v>573943</v>
      </c>
      <c r="AD8" s="100"/>
      <c r="AE8" s="100"/>
      <c r="AF8" s="100"/>
      <c r="AG8" s="100"/>
      <c r="AH8" s="131">
        <f t="shared" ref="AH8:AH37" si="7">AD8+AE8+AF8+AG8</f>
        <v>0</v>
      </c>
      <c r="AI8" s="100">
        <f>Лист2!Y8</f>
        <v>0</v>
      </c>
      <c r="AJ8" s="100">
        <f>Лист2!Z8</f>
        <v>0</v>
      </c>
      <c r="AK8" s="120">
        <f t="shared" ref="AK8:AK37" si="8">AI8+AJ8</f>
        <v>0</v>
      </c>
    </row>
    <row r="9" spans="1:37" x14ac:dyDescent="0.25">
      <c r="A9" s="116">
        <v>112</v>
      </c>
      <c r="B9" s="116">
        <v>212</v>
      </c>
      <c r="C9" s="99"/>
      <c r="D9" s="99"/>
      <c r="E9" s="99"/>
      <c r="F9" s="99"/>
      <c r="G9" s="120">
        <f t="shared" si="0"/>
        <v>0</v>
      </c>
      <c r="H9" s="99"/>
      <c r="I9" s="100" t="e">
        <f>'Разд 1.2 ИЦ'!#REF!</f>
        <v>#REF!</v>
      </c>
      <c r="J9" s="100">
        <f>'Разд 1.2 ИЦ'!J40</f>
        <v>85300</v>
      </c>
      <c r="K9" s="100">
        <f>'Разд 1.2 ИЦ'!K40</f>
        <v>0</v>
      </c>
      <c r="L9" s="121" t="e">
        <f t="shared" si="1"/>
        <v>#REF!</v>
      </c>
      <c r="M9" s="100">
        <f>'Разд 1.3 ПДД'!I46</f>
        <v>0</v>
      </c>
      <c r="N9" s="100"/>
      <c r="O9" s="100">
        <f>'Разд 1.3 ПДД'!J46</f>
        <v>0</v>
      </c>
      <c r="P9" s="100">
        <f>'Разд 1.3 ПДД'!K46</f>
        <v>0</v>
      </c>
      <c r="Q9" s="120">
        <f t="shared" si="2"/>
        <v>0</v>
      </c>
      <c r="R9" s="99"/>
      <c r="S9" s="120">
        <f t="shared" si="3"/>
        <v>0</v>
      </c>
      <c r="T9" s="100" t="e">
        <f>'Разд 1.2 ИЦ'!#REF!</f>
        <v>#REF!</v>
      </c>
      <c r="U9" s="100" t="e">
        <f>'Разд 1.2 ИЦ'!#REF!</f>
        <v>#REF!</v>
      </c>
      <c r="V9" s="100" t="e">
        <f>'Разд 1.2 ИЦ'!#REF!</f>
        <v>#REF!</v>
      </c>
      <c r="W9" s="100" t="e">
        <f>'Разд 1.2 ИЦ'!#REF!</f>
        <v>#REF!</v>
      </c>
      <c r="X9" s="127" t="e">
        <f t="shared" si="4"/>
        <v>#REF!</v>
      </c>
      <c r="Y9" s="99"/>
      <c r="Z9" s="100">
        <f>'Разд 1.3 ПДД'!N46</f>
        <v>0</v>
      </c>
      <c r="AA9" s="120">
        <f t="shared" si="5"/>
        <v>0</v>
      </c>
      <c r="AB9" s="99"/>
      <c r="AC9" s="120">
        <f t="shared" si="6"/>
        <v>0</v>
      </c>
      <c r="AD9" s="100"/>
      <c r="AE9" s="100"/>
      <c r="AF9" s="100" t="e">
        <f>'Разд 1.2 ИЦ'!#REF!</f>
        <v>#REF!</v>
      </c>
      <c r="AG9" s="100" t="e">
        <f>'Разд 1.2 ИЦ'!#REF!</f>
        <v>#REF!</v>
      </c>
      <c r="AH9" s="131" t="e">
        <f t="shared" si="7"/>
        <v>#REF!</v>
      </c>
      <c r="AI9" s="100">
        <f>Лист2!Y9</f>
        <v>0</v>
      </c>
      <c r="AJ9" s="100">
        <f>Лист2!Z9</f>
        <v>0</v>
      </c>
      <c r="AK9" s="120">
        <f t="shared" si="8"/>
        <v>0</v>
      </c>
    </row>
    <row r="10" spans="1:37" x14ac:dyDescent="0.25">
      <c r="A10" s="116">
        <v>112</v>
      </c>
      <c r="B10" s="116" t="s">
        <v>95</v>
      </c>
      <c r="C10" s="99"/>
      <c r="D10" s="99"/>
      <c r="E10" s="99"/>
      <c r="F10" s="99"/>
      <c r="G10" s="120">
        <f t="shared" si="0"/>
        <v>0</v>
      </c>
      <c r="H10" s="99"/>
      <c r="I10" s="100" t="e">
        <f>'Разд 1.2 ИЦ'!#REF!</f>
        <v>#REF!</v>
      </c>
      <c r="J10" s="100">
        <f>'Разд 1.2 ИЦ'!J41</f>
        <v>1805000</v>
      </c>
      <c r="K10" s="100">
        <f>'Разд 1.2 ИЦ'!K41</f>
        <v>0</v>
      </c>
      <c r="L10" s="121" t="e">
        <f t="shared" si="1"/>
        <v>#REF!</v>
      </c>
      <c r="M10" s="100">
        <f>'Разд 1.3 ПДД'!I47</f>
        <v>8000</v>
      </c>
      <c r="N10" s="100"/>
      <c r="O10" s="100">
        <f>'Разд 1.3 ПДД'!J47</f>
        <v>0</v>
      </c>
      <c r="P10" s="100">
        <f>'Разд 1.3 ПДД'!K47</f>
        <v>62023.42</v>
      </c>
      <c r="Q10" s="120">
        <f t="shared" si="2"/>
        <v>70023.42</v>
      </c>
      <c r="R10" s="99"/>
      <c r="S10" s="120">
        <f t="shared" si="3"/>
        <v>0</v>
      </c>
      <c r="T10" s="100" t="e">
        <f>'Разд 1.2 ИЦ'!#REF!</f>
        <v>#REF!</v>
      </c>
      <c r="U10" s="100" t="e">
        <f>'Разд 1.2 ИЦ'!#REF!</f>
        <v>#REF!</v>
      </c>
      <c r="V10" s="100" t="e">
        <f>'Разд 1.2 ИЦ'!#REF!</f>
        <v>#REF!</v>
      </c>
      <c r="W10" s="100" t="e">
        <f>'Разд 1.2 ИЦ'!#REF!</f>
        <v>#REF!</v>
      </c>
      <c r="X10" s="127" t="e">
        <f t="shared" si="4"/>
        <v>#REF!</v>
      </c>
      <c r="Y10" s="99"/>
      <c r="Z10" s="99"/>
      <c r="AA10" s="120">
        <f t="shared" si="5"/>
        <v>0</v>
      </c>
      <c r="AB10" s="99"/>
      <c r="AC10" s="120">
        <f t="shared" si="6"/>
        <v>0</v>
      </c>
      <c r="AD10" s="100"/>
      <c r="AE10" s="100"/>
      <c r="AF10" s="100" t="e">
        <f>'Разд 1.2 ИЦ'!#REF!</f>
        <v>#REF!</v>
      </c>
      <c r="AG10" s="100" t="e">
        <f>'Разд 1.2 ИЦ'!#REF!</f>
        <v>#REF!</v>
      </c>
      <c r="AH10" s="131" t="e">
        <f t="shared" si="7"/>
        <v>#REF!</v>
      </c>
      <c r="AI10" s="100">
        <f>Лист2!Y10</f>
        <v>0</v>
      </c>
      <c r="AJ10" s="100">
        <f>Лист2!Z10</f>
        <v>0</v>
      </c>
      <c r="AK10" s="120">
        <f t="shared" si="8"/>
        <v>0</v>
      </c>
    </row>
    <row r="11" spans="1:37" x14ac:dyDescent="0.25">
      <c r="A11" s="116">
        <v>112</v>
      </c>
      <c r="B11" s="116" t="s">
        <v>94</v>
      </c>
      <c r="C11" s="99"/>
      <c r="D11" s="99"/>
      <c r="E11" s="99"/>
      <c r="F11" s="99"/>
      <c r="G11" s="120">
        <f t="shared" si="0"/>
        <v>0</v>
      </c>
      <c r="H11" s="99"/>
      <c r="I11" s="100" t="e">
        <f>'Разд 1.2 ИЦ'!#REF!</f>
        <v>#REF!</v>
      </c>
      <c r="J11" s="100">
        <f>'Разд 1.2 ИЦ'!J42</f>
        <v>0</v>
      </c>
      <c r="K11" s="100">
        <f>'Разд 1.2 ИЦ'!K42</f>
        <v>0</v>
      </c>
      <c r="L11" s="121" t="e">
        <f t="shared" si="1"/>
        <v>#REF!</v>
      </c>
      <c r="M11" s="100">
        <f>'Разд 1.3 ПДД'!I48</f>
        <v>0</v>
      </c>
      <c r="N11" s="100"/>
      <c r="O11" s="100">
        <f>'Разд 1.3 ПДД'!J48</f>
        <v>0</v>
      </c>
      <c r="P11" s="100">
        <f>'Разд 1.3 ПДД'!K48</f>
        <v>0</v>
      </c>
      <c r="Q11" s="120">
        <f t="shared" si="2"/>
        <v>0</v>
      </c>
      <c r="R11" s="99"/>
      <c r="S11" s="120">
        <f t="shared" si="3"/>
        <v>0</v>
      </c>
      <c r="T11" s="100" t="e">
        <f>'Разд 1.2 ИЦ'!#REF!</f>
        <v>#REF!</v>
      </c>
      <c r="U11" s="100" t="e">
        <f>'Разд 1.2 ИЦ'!#REF!</f>
        <v>#REF!</v>
      </c>
      <c r="V11" s="100" t="e">
        <f>'Разд 1.2 ИЦ'!#REF!</f>
        <v>#REF!</v>
      </c>
      <c r="W11" s="100" t="e">
        <f>'Разд 1.2 ИЦ'!#REF!</f>
        <v>#REF!</v>
      </c>
      <c r="X11" s="127" t="e">
        <f t="shared" si="4"/>
        <v>#REF!</v>
      </c>
      <c r="Y11" s="99"/>
      <c r="Z11" s="99"/>
      <c r="AA11" s="120">
        <f t="shared" si="5"/>
        <v>0</v>
      </c>
      <c r="AB11" s="99"/>
      <c r="AC11" s="120">
        <f t="shared" si="6"/>
        <v>0</v>
      </c>
      <c r="AD11" s="100"/>
      <c r="AE11" s="100"/>
      <c r="AF11" s="100" t="e">
        <f>'Разд 1.2 ИЦ'!#REF!</f>
        <v>#REF!</v>
      </c>
      <c r="AG11" s="100" t="e">
        <f>'Разд 1.2 ИЦ'!#REF!</f>
        <v>#REF!</v>
      </c>
      <c r="AH11" s="131" t="e">
        <f t="shared" si="7"/>
        <v>#REF!</v>
      </c>
      <c r="AI11" s="100">
        <f>Лист2!Y11</f>
        <v>0</v>
      </c>
      <c r="AJ11" s="100">
        <f>Лист2!Z11</f>
        <v>0</v>
      </c>
      <c r="AK11" s="120">
        <f t="shared" si="8"/>
        <v>0</v>
      </c>
    </row>
    <row r="12" spans="1:37" x14ac:dyDescent="0.25">
      <c r="A12" s="116">
        <v>112</v>
      </c>
      <c r="B12" s="116">
        <v>226</v>
      </c>
      <c r="C12" s="99"/>
      <c r="D12" s="99"/>
      <c r="E12" s="99"/>
      <c r="F12" s="99"/>
      <c r="G12" s="120">
        <f t="shared" si="0"/>
        <v>0</v>
      </c>
      <c r="H12" s="99"/>
      <c r="I12" s="100" t="e">
        <f>'Разд 1.2 ИЦ'!#REF!</f>
        <v>#REF!</v>
      </c>
      <c r="J12" s="100">
        <f>'Разд 1.2 ИЦ'!J43</f>
        <v>1315100</v>
      </c>
      <c r="K12" s="100">
        <f>'Разд 1.2 ИЦ'!K43</f>
        <v>0</v>
      </c>
      <c r="L12" s="121" t="e">
        <f t="shared" si="1"/>
        <v>#REF!</v>
      </c>
      <c r="M12" s="100">
        <f>'Разд 1.3 ПДД'!I49</f>
        <v>2000</v>
      </c>
      <c r="N12" s="100"/>
      <c r="O12" s="100">
        <f>'Разд 1.3 ПДД'!J49</f>
        <v>0</v>
      </c>
      <c r="P12" s="100">
        <f>'Разд 1.3 ПДД'!K49</f>
        <v>19696.400000000001</v>
      </c>
      <c r="Q12" s="120">
        <f t="shared" si="2"/>
        <v>21696.400000000001</v>
      </c>
      <c r="R12" s="99"/>
      <c r="S12" s="120">
        <f t="shared" si="3"/>
        <v>0</v>
      </c>
      <c r="T12" s="100" t="e">
        <f>'Разд 1.2 ИЦ'!#REF!</f>
        <v>#REF!</v>
      </c>
      <c r="U12" s="100" t="e">
        <f>'Разд 1.2 ИЦ'!#REF!</f>
        <v>#REF!</v>
      </c>
      <c r="V12" s="100" t="e">
        <f>'Разд 1.2 ИЦ'!#REF!</f>
        <v>#REF!</v>
      </c>
      <c r="W12" s="100" t="e">
        <f>'Разд 1.2 ИЦ'!#REF!</f>
        <v>#REF!</v>
      </c>
      <c r="X12" s="127" t="e">
        <f t="shared" si="4"/>
        <v>#REF!</v>
      </c>
      <c r="Y12" s="99"/>
      <c r="Z12" s="99"/>
      <c r="AA12" s="120">
        <f t="shared" si="5"/>
        <v>0</v>
      </c>
      <c r="AB12" s="99"/>
      <c r="AC12" s="120">
        <f t="shared" si="6"/>
        <v>0</v>
      </c>
      <c r="AD12" s="100"/>
      <c r="AE12" s="100"/>
      <c r="AF12" s="100" t="e">
        <f>'Разд 1.2 ИЦ'!#REF!</f>
        <v>#REF!</v>
      </c>
      <c r="AG12" s="100" t="e">
        <f>'Разд 1.2 ИЦ'!#REF!</f>
        <v>#REF!</v>
      </c>
      <c r="AH12" s="131" t="e">
        <f t="shared" si="7"/>
        <v>#REF!</v>
      </c>
      <c r="AI12" s="100">
        <f>Лист2!Y12</f>
        <v>0</v>
      </c>
      <c r="AJ12" s="100">
        <f>Лист2!Z12</f>
        <v>0</v>
      </c>
      <c r="AK12" s="120">
        <f t="shared" si="8"/>
        <v>0</v>
      </c>
    </row>
    <row r="13" spans="1:37" x14ac:dyDescent="0.25">
      <c r="A13" s="116">
        <v>112</v>
      </c>
      <c r="B13" s="116" t="s">
        <v>96</v>
      </c>
      <c r="C13" s="99"/>
      <c r="D13" s="99"/>
      <c r="E13" s="99"/>
      <c r="F13" s="99"/>
      <c r="G13" s="120">
        <f t="shared" si="0"/>
        <v>0</v>
      </c>
      <c r="H13" s="99"/>
      <c r="I13" s="100" t="e">
        <f>'Разд 1.2 ИЦ'!#REF!</f>
        <v>#REF!</v>
      </c>
      <c r="J13" s="100">
        <f>'Разд 1.2 ИЦ'!J44</f>
        <v>0</v>
      </c>
      <c r="K13" s="100">
        <f>'Разд 1.2 ИЦ'!K44</f>
        <v>0</v>
      </c>
      <c r="L13" s="121" t="e">
        <f t="shared" si="1"/>
        <v>#REF!</v>
      </c>
      <c r="M13" s="100">
        <f>'Разд 1.3 ПДД'!I50</f>
        <v>0</v>
      </c>
      <c r="N13" s="100"/>
      <c r="O13" s="100">
        <f>'Разд 1.3 ПДД'!J50</f>
        <v>0</v>
      </c>
      <c r="P13" s="100">
        <f>'Разд 1.3 ПДД'!K50</f>
        <v>0</v>
      </c>
      <c r="Q13" s="120">
        <f t="shared" si="2"/>
        <v>0</v>
      </c>
      <c r="R13" s="99"/>
      <c r="S13" s="120">
        <f t="shared" si="3"/>
        <v>0</v>
      </c>
      <c r="T13" s="100" t="e">
        <f>'Разд 1.2 ИЦ'!#REF!</f>
        <v>#REF!</v>
      </c>
      <c r="U13" s="100" t="e">
        <f>'Разд 1.2 ИЦ'!#REF!</f>
        <v>#REF!</v>
      </c>
      <c r="V13" s="100" t="e">
        <f>'Разд 1.2 ИЦ'!#REF!</f>
        <v>#REF!</v>
      </c>
      <c r="W13" s="100" t="e">
        <f>'Разд 1.2 ИЦ'!#REF!</f>
        <v>#REF!</v>
      </c>
      <c r="X13" s="127" t="e">
        <f t="shared" si="4"/>
        <v>#REF!</v>
      </c>
      <c r="Y13" s="99"/>
      <c r="Z13" s="99"/>
      <c r="AA13" s="120">
        <f t="shared" si="5"/>
        <v>0</v>
      </c>
      <c r="AB13" s="99"/>
      <c r="AC13" s="120">
        <f t="shared" si="6"/>
        <v>0</v>
      </c>
      <c r="AD13" s="100"/>
      <c r="AE13" s="100"/>
      <c r="AF13" s="100" t="e">
        <f>'Разд 1.2 ИЦ'!#REF!</f>
        <v>#REF!</v>
      </c>
      <c r="AG13" s="100" t="e">
        <f>'Разд 1.2 ИЦ'!#REF!</f>
        <v>#REF!</v>
      </c>
      <c r="AH13" s="131" t="e">
        <f t="shared" si="7"/>
        <v>#REF!</v>
      </c>
      <c r="AI13" s="100">
        <f>Лист2!Y13</f>
        <v>0</v>
      </c>
      <c r="AJ13" s="100">
        <f>Лист2!Z13</f>
        <v>0</v>
      </c>
      <c r="AK13" s="120">
        <f t="shared" si="8"/>
        <v>0</v>
      </c>
    </row>
    <row r="14" spans="1:37" x14ac:dyDescent="0.25">
      <c r="A14" s="116">
        <v>113</v>
      </c>
      <c r="B14" s="116" t="s">
        <v>99</v>
      </c>
      <c r="C14" s="99"/>
      <c r="D14" s="99"/>
      <c r="E14" s="99"/>
      <c r="F14" s="99"/>
      <c r="G14" s="120">
        <f t="shared" si="0"/>
        <v>0</v>
      </c>
      <c r="H14" s="99"/>
      <c r="I14" s="100" t="e">
        <f>'Разд 1.2 ИЦ'!#REF!</f>
        <v>#REF!</v>
      </c>
      <c r="J14" s="100">
        <f>'Разд 1.2 ИЦ'!J47</f>
        <v>5528313</v>
      </c>
      <c r="K14" s="100">
        <f>'Разд 1.2 ИЦ'!K47</f>
        <v>0</v>
      </c>
      <c r="L14" s="121" t="e">
        <f t="shared" si="1"/>
        <v>#REF!</v>
      </c>
      <c r="M14" s="100">
        <f>'Разд 1.3 ПДД'!I53</f>
        <v>0</v>
      </c>
      <c r="N14" s="100"/>
      <c r="O14" s="100">
        <f>'Разд 1.3 ПДД'!J53</f>
        <v>0</v>
      </c>
      <c r="P14" s="100">
        <f>'Разд 1.3 ПДД'!K53</f>
        <v>0</v>
      </c>
      <c r="Q14" s="120">
        <f t="shared" si="2"/>
        <v>0</v>
      </c>
      <c r="R14" s="99"/>
      <c r="S14" s="120">
        <f t="shared" si="3"/>
        <v>0</v>
      </c>
      <c r="T14" s="100" t="e">
        <f>'Разд 1.2 ИЦ'!#REF!</f>
        <v>#REF!</v>
      </c>
      <c r="U14" s="100" t="e">
        <f>'Разд 1.2 ИЦ'!#REF!</f>
        <v>#REF!</v>
      </c>
      <c r="V14" s="100" t="e">
        <f>'Разд 1.2 ИЦ'!#REF!</f>
        <v>#REF!</v>
      </c>
      <c r="W14" s="100" t="e">
        <f>'Разд 1.2 ИЦ'!#REF!</f>
        <v>#REF!</v>
      </c>
      <c r="X14" s="127" t="e">
        <f t="shared" si="4"/>
        <v>#REF!</v>
      </c>
      <c r="Y14" s="99"/>
      <c r="Z14" s="99"/>
      <c r="AA14" s="120">
        <f t="shared" si="5"/>
        <v>0</v>
      </c>
      <c r="AB14" s="99"/>
      <c r="AC14" s="120">
        <f t="shared" si="6"/>
        <v>0</v>
      </c>
      <c r="AD14" s="100"/>
      <c r="AE14" s="100"/>
      <c r="AF14" s="100"/>
      <c r="AG14" s="100"/>
      <c r="AH14" s="131">
        <f t="shared" si="7"/>
        <v>0</v>
      </c>
      <c r="AI14" s="100">
        <f>Лист2!Y14</f>
        <v>0</v>
      </c>
      <c r="AJ14" s="100">
        <f>Лист2!Z14</f>
        <v>0</v>
      </c>
      <c r="AK14" s="120">
        <f t="shared" si="8"/>
        <v>0</v>
      </c>
    </row>
    <row r="15" spans="1:37" x14ac:dyDescent="0.25">
      <c r="A15" s="116">
        <v>119</v>
      </c>
      <c r="B15" s="116" t="s">
        <v>100</v>
      </c>
      <c r="C15" s="100">
        <f>'Разд 1.1 МЗ '!I51</f>
        <v>0</v>
      </c>
      <c r="D15" s="100">
        <f>'Разд 1.1 МЗ '!J52</f>
        <v>0</v>
      </c>
      <c r="E15" s="100"/>
      <c r="F15" s="100">
        <f>'Разд 1.1 МЗ '!L51</f>
        <v>31022900</v>
      </c>
      <c r="G15" s="120">
        <f t="shared" si="0"/>
        <v>31022900</v>
      </c>
      <c r="H15" s="99"/>
      <c r="I15" s="99"/>
      <c r="J15" s="99"/>
      <c r="K15" s="99"/>
      <c r="L15" s="121">
        <f t="shared" si="1"/>
        <v>0</v>
      </c>
      <c r="M15" s="100">
        <f>'Разд 1.3 ПДД'!I56</f>
        <v>186653.4</v>
      </c>
      <c r="N15" s="100"/>
      <c r="O15" s="100">
        <f>'Разд 1.3 ПДД'!J56</f>
        <v>354830.79</v>
      </c>
      <c r="P15" s="100">
        <f>'Разд 1.3 ПДД'!K56</f>
        <v>0</v>
      </c>
      <c r="Q15" s="120">
        <f t="shared" si="2"/>
        <v>541484.18999999994</v>
      </c>
      <c r="R15" s="100">
        <f>'Разд 1.1 МЗ '!F51</f>
        <v>32136300</v>
      </c>
      <c r="S15" s="120">
        <f t="shared" si="3"/>
        <v>32136300</v>
      </c>
      <c r="T15" s="99"/>
      <c r="U15" s="99"/>
      <c r="V15" s="99"/>
      <c r="W15" s="99"/>
      <c r="X15" s="127">
        <f t="shared" si="4"/>
        <v>0</v>
      </c>
      <c r="Y15" s="100">
        <f>'Разд 1.3 ПДД'!M56</f>
        <v>0</v>
      </c>
      <c r="Z15" s="100">
        <f>'Разд 1.3 ПДД'!N56</f>
        <v>0</v>
      </c>
      <c r="AA15" s="120">
        <f t="shared" si="5"/>
        <v>0</v>
      </c>
      <c r="AB15" s="100">
        <f>'Разд 1.1 МЗ '!G51</f>
        <v>32136300</v>
      </c>
      <c r="AC15" s="120">
        <f t="shared" si="6"/>
        <v>32136300</v>
      </c>
      <c r="AD15" s="99"/>
      <c r="AE15" s="99"/>
      <c r="AF15" s="99"/>
      <c r="AG15" s="99"/>
      <c r="AH15" s="131">
        <f t="shared" si="7"/>
        <v>0</v>
      </c>
      <c r="AI15" s="100">
        <f>Лист2!Y15</f>
        <v>0</v>
      </c>
      <c r="AJ15" s="100">
        <f>Лист2!Z15</f>
        <v>0</v>
      </c>
      <c r="AK15" s="120">
        <f t="shared" si="8"/>
        <v>0</v>
      </c>
    </row>
    <row r="16" spans="1:37" x14ac:dyDescent="0.25">
      <c r="A16" s="116">
        <v>321</v>
      </c>
      <c r="B16" s="116" t="s">
        <v>105</v>
      </c>
      <c r="C16" s="99"/>
      <c r="D16" s="99"/>
      <c r="E16" s="99"/>
      <c r="F16" s="99"/>
      <c r="G16" s="120">
        <f t="shared" si="0"/>
        <v>0</v>
      </c>
      <c r="H16" s="100">
        <f>'Разд 1.2 ИЦ'!I53</f>
        <v>0</v>
      </c>
      <c r="I16" s="100" t="e">
        <f>'Разд 1.2 ИЦ'!#REF!</f>
        <v>#REF!</v>
      </c>
      <c r="J16" s="100">
        <f>'Разд 1.2 ИЦ'!J53</f>
        <v>0</v>
      </c>
      <c r="K16" s="100">
        <f>'Разд 1.2 ИЦ'!K53</f>
        <v>0</v>
      </c>
      <c r="L16" s="121" t="e">
        <f t="shared" si="1"/>
        <v>#REF!</v>
      </c>
      <c r="M16" s="99"/>
      <c r="N16" s="99"/>
      <c r="O16" s="99"/>
      <c r="P16" s="99"/>
      <c r="Q16" s="120">
        <f t="shared" si="2"/>
        <v>0</v>
      </c>
      <c r="R16" s="99"/>
      <c r="S16" s="120">
        <f t="shared" si="3"/>
        <v>0</v>
      </c>
      <c r="T16" s="100" t="e">
        <f>'Разд 1.2 ИЦ'!#REF!</f>
        <v>#REF!</v>
      </c>
      <c r="U16" s="100" t="e">
        <f>'Разд 1.2 ИЦ'!#REF!</f>
        <v>#REF!</v>
      </c>
      <c r="V16" s="100" t="e">
        <f>'Разд 1.2 ИЦ'!#REF!</f>
        <v>#REF!</v>
      </c>
      <c r="W16" s="100" t="e">
        <f>'Разд 1.2 ИЦ'!#REF!</f>
        <v>#REF!</v>
      </c>
      <c r="X16" s="127" t="e">
        <f t="shared" si="4"/>
        <v>#REF!</v>
      </c>
      <c r="Y16" s="99"/>
      <c r="Z16" s="99"/>
      <c r="AA16" s="120">
        <f t="shared" si="5"/>
        <v>0</v>
      </c>
      <c r="AB16" s="99"/>
      <c r="AC16" s="120">
        <f t="shared" si="6"/>
        <v>0</v>
      </c>
      <c r="AD16" s="100"/>
      <c r="AE16" s="100"/>
      <c r="AF16" s="100" t="e">
        <f>'Разд 1.2 ИЦ'!#REF!</f>
        <v>#REF!</v>
      </c>
      <c r="AG16" s="100" t="e">
        <f>'Разд 1.2 ИЦ'!#REF!</f>
        <v>#REF!</v>
      </c>
      <c r="AH16" s="131" t="e">
        <f t="shared" si="7"/>
        <v>#REF!</v>
      </c>
      <c r="AI16" s="100">
        <f>Лист2!Y16</f>
        <v>0</v>
      </c>
      <c r="AJ16" s="100">
        <f>Лист2!Z16</f>
        <v>0</v>
      </c>
      <c r="AK16" s="120">
        <f t="shared" si="8"/>
        <v>0</v>
      </c>
    </row>
    <row r="17" spans="1:37" x14ac:dyDescent="0.25">
      <c r="A17" s="116">
        <v>851</v>
      </c>
      <c r="B17" s="116" t="s">
        <v>114</v>
      </c>
      <c r="C17" s="99"/>
      <c r="D17" s="99"/>
      <c r="E17" s="99"/>
      <c r="F17" s="100">
        <f>'Разд 1.1 МЗ '!L57</f>
        <v>7414100</v>
      </c>
      <c r="G17" s="120">
        <f t="shared" si="0"/>
        <v>7414100</v>
      </c>
      <c r="H17" s="99"/>
      <c r="I17" s="99"/>
      <c r="J17" s="99"/>
      <c r="K17" s="99"/>
      <c r="L17" s="121">
        <f t="shared" si="1"/>
        <v>0</v>
      </c>
      <c r="M17" s="100">
        <f>'Разд 1.3 ПДД'!I61</f>
        <v>0</v>
      </c>
      <c r="N17" s="100"/>
      <c r="O17" s="100">
        <f>'Разд 1.3 ПДД'!J61</f>
        <v>0</v>
      </c>
      <c r="P17" s="100">
        <f>'Разд 1.3 ПДД'!K61</f>
        <v>0</v>
      </c>
      <c r="Q17" s="120">
        <f t="shared" si="2"/>
        <v>0</v>
      </c>
      <c r="R17" s="100">
        <f>'Разд 1.1 МЗ '!F57</f>
        <v>7414100</v>
      </c>
      <c r="S17" s="120">
        <f t="shared" si="3"/>
        <v>7414100</v>
      </c>
      <c r="T17" s="100" t="e">
        <f>'Разд 1.2 ИЦ'!#REF!</f>
        <v>#REF!</v>
      </c>
      <c r="U17" s="100" t="e">
        <f>'Разд 1.2 ИЦ'!#REF!</f>
        <v>#REF!</v>
      </c>
      <c r="V17" s="100" t="e">
        <f>'Разд 1.2 ИЦ'!#REF!</f>
        <v>#REF!</v>
      </c>
      <c r="W17" s="100" t="e">
        <f>'Разд 1.2 ИЦ'!#REF!</f>
        <v>#REF!</v>
      </c>
      <c r="X17" s="127" t="e">
        <f t="shared" si="4"/>
        <v>#REF!</v>
      </c>
      <c r="Y17" s="99"/>
      <c r="Z17" s="99"/>
      <c r="AA17" s="120">
        <f t="shared" si="5"/>
        <v>0</v>
      </c>
      <c r="AB17" s="100">
        <f>'Разд 1.1 МЗ '!G57</f>
        <v>7414100</v>
      </c>
      <c r="AC17" s="120">
        <f t="shared" si="6"/>
        <v>7414100</v>
      </c>
      <c r="AD17" s="100"/>
      <c r="AE17" s="100"/>
      <c r="AF17" s="100"/>
      <c r="AG17" s="100"/>
      <c r="AH17" s="131">
        <f t="shared" si="7"/>
        <v>0</v>
      </c>
      <c r="AI17" s="100">
        <f>Лист2!Y17</f>
        <v>0</v>
      </c>
      <c r="AJ17" s="100">
        <f>Лист2!Z17</f>
        <v>0</v>
      </c>
      <c r="AK17" s="120">
        <f t="shared" si="8"/>
        <v>0</v>
      </c>
    </row>
    <row r="18" spans="1:37" x14ac:dyDescent="0.25">
      <c r="A18" s="116">
        <v>852</v>
      </c>
      <c r="B18" s="116" t="s">
        <v>114</v>
      </c>
      <c r="C18" s="99"/>
      <c r="D18" s="99"/>
      <c r="E18" s="99"/>
      <c r="F18" s="100">
        <f>'Разд 1.1 МЗ '!L58</f>
        <v>28500</v>
      </c>
      <c r="G18" s="120">
        <f t="shared" si="0"/>
        <v>28500</v>
      </c>
      <c r="H18" s="99"/>
      <c r="I18" s="99"/>
      <c r="J18" s="99"/>
      <c r="K18" s="99"/>
      <c r="L18" s="121">
        <f t="shared" si="1"/>
        <v>0</v>
      </c>
      <c r="M18" s="100">
        <f>'Разд 1.3 ПДД'!I62</f>
        <v>5100</v>
      </c>
      <c r="N18" s="100"/>
      <c r="O18" s="100">
        <f>'Разд 1.3 ПДД'!J62</f>
        <v>0</v>
      </c>
      <c r="P18" s="100">
        <f>'Разд 1.3 ПДД'!K62</f>
        <v>0</v>
      </c>
      <c r="Q18" s="120">
        <f t="shared" si="2"/>
        <v>5100</v>
      </c>
      <c r="R18" s="100">
        <f>'Разд 1.1 МЗ '!F58</f>
        <v>28500</v>
      </c>
      <c r="S18" s="120">
        <f t="shared" si="3"/>
        <v>28500</v>
      </c>
      <c r="T18" s="100" t="e">
        <f>'Разд 1.2 ИЦ'!#REF!</f>
        <v>#REF!</v>
      </c>
      <c r="U18" s="100" t="e">
        <f>'Разд 1.2 ИЦ'!#REF!</f>
        <v>#REF!</v>
      </c>
      <c r="V18" s="100" t="e">
        <f>'Разд 1.2 ИЦ'!#REF!</f>
        <v>#REF!</v>
      </c>
      <c r="W18" s="100" t="e">
        <f>'Разд 1.2 ИЦ'!#REF!</f>
        <v>#REF!</v>
      </c>
      <c r="X18" s="127" t="e">
        <f t="shared" si="4"/>
        <v>#REF!</v>
      </c>
      <c r="Y18" s="99"/>
      <c r="Z18" s="99"/>
      <c r="AA18" s="120">
        <f t="shared" si="5"/>
        <v>0</v>
      </c>
      <c r="AB18" s="100">
        <f>'Разд 1.1 МЗ '!G58</f>
        <v>28500</v>
      </c>
      <c r="AC18" s="120">
        <f t="shared" si="6"/>
        <v>28500</v>
      </c>
      <c r="AD18" s="100"/>
      <c r="AE18" s="100"/>
      <c r="AF18" s="100"/>
      <c r="AG18" s="100"/>
      <c r="AH18" s="131">
        <f t="shared" si="7"/>
        <v>0</v>
      </c>
      <c r="AI18" s="100">
        <f>Лист2!Y18</f>
        <v>0</v>
      </c>
      <c r="AJ18" s="100">
        <f>Лист2!Z18</f>
        <v>0</v>
      </c>
      <c r="AK18" s="120">
        <f t="shared" si="8"/>
        <v>0</v>
      </c>
    </row>
    <row r="19" spans="1:37" x14ac:dyDescent="0.25">
      <c r="A19" s="116">
        <v>853</v>
      </c>
      <c r="B19" s="116" t="s">
        <v>114</v>
      </c>
      <c r="C19" s="99"/>
      <c r="D19" s="99"/>
      <c r="E19" s="99"/>
      <c r="F19" s="100">
        <f>'Разд 1.1 МЗ '!L59</f>
        <v>0</v>
      </c>
      <c r="G19" s="120">
        <f t="shared" si="0"/>
        <v>0</v>
      </c>
      <c r="H19" s="99"/>
      <c r="I19" s="99"/>
      <c r="J19" s="99"/>
      <c r="K19" s="99"/>
      <c r="L19" s="121">
        <f t="shared" si="1"/>
        <v>0</v>
      </c>
      <c r="M19" s="100">
        <f>'Разд 1.3 ПДД'!I63</f>
        <v>0</v>
      </c>
      <c r="N19" s="100"/>
      <c r="O19" s="100">
        <f>'Разд 1.3 ПДД'!J63</f>
        <v>0</v>
      </c>
      <c r="P19" s="100">
        <f>'Разд 1.3 ПДД'!K63</f>
        <v>0</v>
      </c>
      <c r="Q19" s="120">
        <f t="shared" si="2"/>
        <v>0</v>
      </c>
      <c r="R19" s="100">
        <f>'Разд 1.1 МЗ '!F59</f>
        <v>0</v>
      </c>
      <c r="S19" s="120">
        <f t="shared" si="3"/>
        <v>0</v>
      </c>
      <c r="T19" s="100" t="e">
        <f>'Разд 1.2 ИЦ'!#REF!</f>
        <v>#REF!</v>
      </c>
      <c r="U19" s="100" t="e">
        <f>'Разд 1.2 ИЦ'!#REF!</f>
        <v>#REF!</v>
      </c>
      <c r="V19" s="100" t="e">
        <f>'Разд 1.2 ИЦ'!#REF!</f>
        <v>#REF!</v>
      </c>
      <c r="W19" s="100" t="e">
        <f>'Разд 1.2 ИЦ'!#REF!</f>
        <v>#REF!</v>
      </c>
      <c r="X19" s="127" t="e">
        <f t="shared" si="4"/>
        <v>#REF!</v>
      </c>
      <c r="Y19" s="99"/>
      <c r="Z19" s="99"/>
      <c r="AA19" s="120">
        <f t="shared" si="5"/>
        <v>0</v>
      </c>
      <c r="AB19" s="100">
        <f>'Разд 1.1 МЗ '!G59</f>
        <v>0</v>
      </c>
      <c r="AC19" s="120">
        <f t="shared" si="6"/>
        <v>0</v>
      </c>
      <c r="AD19" s="100"/>
      <c r="AE19" s="100"/>
      <c r="AF19" s="100"/>
      <c r="AG19" s="100"/>
      <c r="AH19" s="131">
        <f t="shared" si="7"/>
        <v>0</v>
      </c>
      <c r="AI19" s="100">
        <f>Лист2!Y19</f>
        <v>0</v>
      </c>
      <c r="AJ19" s="100">
        <f>Лист2!Z19</f>
        <v>0</v>
      </c>
      <c r="AK19" s="120">
        <f t="shared" si="8"/>
        <v>0</v>
      </c>
    </row>
    <row r="20" spans="1:37" x14ac:dyDescent="0.25">
      <c r="A20" s="116">
        <v>831</v>
      </c>
      <c r="B20" s="116" t="s">
        <v>210</v>
      </c>
      <c r="C20" s="99"/>
      <c r="D20" s="99"/>
      <c r="E20" s="99"/>
      <c r="F20" s="100"/>
      <c r="G20" s="120">
        <f t="shared" si="0"/>
        <v>0</v>
      </c>
      <c r="H20" s="99"/>
      <c r="I20" s="99"/>
      <c r="J20" s="99"/>
      <c r="K20" s="99"/>
      <c r="L20" s="121">
        <f t="shared" si="1"/>
        <v>0</v>
      </c>
      <c r="M20" s="100">
        <f>'Разд 1.3 ПДД'!I66</f>
        <v>67341.16</v>
      </c>
      <c r="N20" s="100"/>
      <c r="O20" s="100">
        <f>'Разд 1.3 ПДД'!J66</f>
        <v>0</v>
      </c>
      <c r="P20" s="100">
        <f>'Разд 1.3 ПДД'!K66</f>
        <v>0</v>
      </c>
      <c r="Q20" s="120">
        <f t="shared" si="2"/>
        <v>67341.16</v>
      </c>
      <c r="R20" s="99"/>
      <c r="S20" s="120">
        <f t="shared" si="3"/>
        <v>0</v>
      </c>
      <c r="T20" s="100"/>
      <c r="U20" s="100"/>
      <c r="V20" s="99"/>
      <c r="W20" s="99"/>
      <c r="X20" s="127">
        <f t="shared" si="4"/>
        <v>0</v>
      </c>
      <c r="Y20" s="99"/>
      <c r="Z20" s="99"/>
      <c r="AA20" s="120">
        <f t="shared" si="5"/>
        <v>0</v>
      </c>
      <c r="AB20" s="99"/>
      <c r="AC20" s="120">
        <f t="shared" si="6"/>
        <v>0</v>
      </c>
      <c r="AD20" s="100"/>
      <c r="AE20" s="100"/>
      <c r="AF20" s="99"/>
      <c r="AG20" s="99"/>
      <c r="AH20" s="131">
        <f t="shared" si="7"/>
        <v>0</v>
      </c>
      <c r="AI20" s="100">
        <f>Лист2!Y20</f>
        <v>0</v>
      </c>
      <c r="AJ20" s="100">
        <f>Лист2!Z20</f>
        <v>0</v>
      </c>
      <c r="AK20" s="120">
        <f t="shared" si="8"/>
        <v>0</v>
      </c>
    </row>
    <row r="21" spans="1:37" x14ac:dyDescent="0.25">
      <c r="A21" s="116">
        <v>831</v>
      </c>
      <c r="B21" s="116">
        <v>297</v>
      </c>
      <c r="C21" s="99"/>
      <c r="D21" s="99"/>
      <c r="E21" s="99"/>
      <c r="F21" s="100"/>
      <c r="G21" s="120"/>
      <c r="H21" s="99"/>
      <c r="I21" s="99"/>
      <c r="J21" s="99"/>
      <c r="K21" s="99"/>
      <c r="L21" s="121"/>
      <c r="M21" s="100">
        <f>'Разд 1.3 ПДД'!I67</f>
        <v>0</v>
      </c>
      <c r="N21" s="100"/>
      <c r="O21" s="100">
        <f>'Разд 1.3 ПДД'!J67</f>
        <v>0</v>
      </c>
      <c r="P21" s="100">
        <f>'Разд 1.3 ПДД'!K67</f>
        <v>0</v>
      </c>
      <c r="Q21" s="120">
        <f t="shared" si="2"/>
        <v>0</v>
      </c>
      <c r="R21" s="99"/>
      <c r="S21" s="120">
        <f t="shared" si="3"/>
        <v>0</v>
      </c>
      <c r="T21" s="99"/>
      <c r="U21" s="99"/>
      <c r="V21" s="99"/>
      <c r="W21" s="99"/>
      <c r="X21" s="127">
        <f t="shared" si="4"/>
        <v>0</v>
      </c>
      <c r="Y21" s="99"/>
      <c r="Z21" s="99"/>
      <c r="AA21" s="120">
        <f t="shared" si="5"/>
        <v>0</v>
      </c>
      <c r="AB21" s="99"/>
      <c r="AC21" s="120">
        <f t="shared" si="6"/>
        <v>0</v>
      </c>
      <c r="AD21" s="99"/>
      <c r="AE21" s="99"/>
      <c r="AF21" s="99"/>
      <c r="AG21" s="99"/>
      <c r="AH21" s="131">
        <f t="shared" si="7"/>
        <v>0</v>
      </c>
      <c r="AI21" s="100">
        <f>Лист2!Y21</f>
        <v>0</v>
      </c>
      <c r="AJ21" s="100">
        <f>Лист2!Z21</f>
        <v>0</v>
      </c>
      <c r="AK21" s="120">
        <f t="shared" si="8"/>
        <v>0</v>
      </c>
    </row>
    <row r="22" spans="1:37" x14ac:dyDescent="0.25">
      <c r="A22" s="126">
        <v>244</v>
      </c>
      <c r="B22" s="116" t="s">
        <v>118</v>
      </c>
      <c r="C22" s="100">
        <f>'Разд 1.1 МЗ '!I63</f>
        <v>0</v>
      </c>
      <c r="D22" s="100">
        <f>'Разд 1.1 МЗ '!J63</f>
        <v>0</v>
      </c>
      <c r="E22" s="100">
        <f>'Разд 1.1 МЗ '!K63</f>
        <v>0</v>
      </c>
      <c r="F22" s="100">
        <f>'Разд 1.1 МЗ '!L63</f>
        <v>473800</v>
      </c>
      <c r="G22" s="120">
        <f t="shared" si="0"/>
        <v>473800</v>
      </c>
      <c r="H22" s="100">
        <f>'Разд 1.2 ИЦ'!I61</f>
        <v>0</v>
      </c>
      <c r="I22" s="100" t="e">
        <f>'Разд 1.2 ИЦ'!#REF!</f>
        <v>#REF!</v>
      </c>
      <c r="J22" s="100">
        <f>'Разд 1.2 ИЦ'!J61</f>
        <v>0</v>
      </c>
      <c r="K22" s="100">
        <f>'Разд 1.2 ИЦ'!K61</f>
        <v>0</v>
      </c>
      <c r="L22" s="121" t="e">
        <f t="shared" si="1"/>
        <v>#REF!</v>
      </c>
      <c r="M22" s="100">
        <f>'Разд 1.3 ПДД'!I71</f>
        <v>0</v>
      </c>
      <c r="N22" s="100"/>
      <c r="O22" s="100">
        <f>'Разд 1.3 ПДД'!J71</f>
        <v>0</v>
      </c>
      <c r="P22" s="100">
        <f>'Разд 1.3 ПДД'!K71</f>
        <v>0</v>
      </c>
      <c r="Q22" s="120">
        <f t="shared" si="2"/>
        <v>0</v>
      </c>
      <c r="R22" s="100">
        <f>'Разд 1.1 МЗ '!F63</f>
        <v>472900</v>
      </c>
      <c r="S22" s="120">
        <f t="shared" si="3"/>
        <v>472900</v>
      </c>
      <c r="T22" s="100" t="e">
        <f>'Разд 1.2 ИЦ'!#REF!</f>
        <v>#REF!</v>
      </c>
      <c r="U22" s="100" t="e">
        <f>'Разд 1.2 ИЦ'!#REF!</f>
        <v>#REF!</v>
      </c>
      <c r="V22" s="100" t="e">
        <f>'Разд 1.2 ИЦ'!#REF!</f>
        <v>#REF!</v>
      </c>
      <c r="W22" s="100" t="e">
        <f>'Разд 1.2 ИЦ'!#REF!</f>
        <v>#REF!</v>
      </c>
      <c r="X22" s="127" t="e">
        <f t="shared" si="4"/>
        <v>#REF!</v>
      </c>
      <c r="Y22" s="100">
        <f>'Разд 1.3 ПДД'!M71</f>
        <v>0</v>
      </c>
      <c r="Z22" s="100">
        <f>'Разд 1.3 ПДД'!N71</f>
        <v>0</v>
      </c>
      <c r="AA22" s="120">
        <f t="shared" si="5"/>
        <v>0</v>
      </c>
      <c r="AB22" s="100">
        <f>'Разд 1.1 МЗ '!G63</f>
        <v>472900</v>
      </c>
      <c r="AC22" s="120">
        <f t="shared" si="6"/>
        <v>472900</v>
      </c>
      <c r="AD22" s="100"/>
      <c r="AE22" s="100"/>
      <c r="AF22" s="100" t="e">
        <f>'Разд 1.2 ИЦ'!#REF!</f>
        <v>#REF!</v>
      </c>
      <c r="AG22" s="100" t="e">
        <f>'Разд 1.2 ИЦ'!#REF!</f>
        <v>#REF!</v>
      </c>
      <c r="AH22" s="131" t="e">
        <f t="shared" si="7"/>
        <v>#REF!</v>
      </c>
      <c r="AI22" s="100">
        <f>Лист2!Y22</f>
        <v>0</v>
      </c>
      <c r="AJ22" s="100">
        <f>Лист2!Z22</f>
        <v>0</v>
      </c>
      <c r="AK22" s="120">
        <f t="shared" si="8"/>
        <v>0</v>
      </c>
    </row>
    <row r="23" spans="1:37" x14ac:dyDescent="0.25">
      <c r="A23" s="126">
        <v>244</v>
      </c>
      <c r="B23" s="116" t="s">
        <v>94</v>
      </c>
      <c r="C23" s="100">
        <f>'Разд 1.1 МЗ '!I64</f>
        <v>0</v>
      </c>
      <c r="D23" s="100">
        <f>'Разд 1.1 МЗ '!J64</f>
        <v>0</v>
      </c>
      <c r="E23" s="100">
        <f>'Разд 1.1 МЗ '!K64</f>
        <v>0</v>
      </c>
      <c r="F23" s="100">
        <f>'Разд 1.1 МЗ '!L64</f>
        <v>0</v>
      </c>
      <c r="G23" s="120">
        <f t="shared" si="0"/>
        <v>0</v>
      </c>
      <c r="H23" s="100">
        <f>'Разд 1.2 ИЦ'!I62</f>
        <v>0</v>
      </c>
      <c r="I23" s="100" t="e">
        <f>'Разд 1.2 ИЦ'!#REF!</f>
        <v>#REF!</v>
      </c>
      <c r="J23" s="100">
        <f>'Разд 1.2 ИЦ'!J62</f>
        <v>0</v>
      </c>
      <c r="K23" s="100">
        <f>'Разд 1.2 ИЦ'!K62</f>
        <v>0</v>
      </c>
      <c r="L23" s="121" t="e">
        <f t="shared" si="1"/>
        <v>#REF!</v>
      </c>
      <c r="M23" s="100">
        <f>'Разд 1.3 ПДД'!I72</f>
        <v>52000</v>
      </c>
      <c r="N23" s="100"/>
      <c r="O23" s="100">
        <f>'Разд 1.3 ПДД'!J72</f>
        <v>0</v>
      </c>
      <c r="P23" s="100">
        <f>'Разд 1.3 ПДД'!K72</f>
        <v>0</v>
      </c>
      <c r="Q23" s="120">
        <f t="shared" si="2"/>
        <v>52000</v>
      </c>
      <c r="R23" s="100">
        <f>'Разд 1.1 МЗ '!F64</f>
        <v>0</v>
      </c>
      <c r="S23" s="120">
        <f t="shared" si="3"/>
        <v>0</v>
      </c>
      <c r="T23" s="100" t="e">
        <f>'Разд 1.2 ИЦ'!#REF!</f>
        <v>#REF!</v>
      </c>
      <c r="U23" s="100" t="e">
        <f>'Разд 1.2 ИЦ'!#REF!</f>
        <v>#REF!</v>
      </c>
      <c r="V23" s="100" t="e">
        <f>'Разд 1.2 ИЦ'!#REF!</f>
        <v>#REF!</v>
      </c>
      <c r="W23" s="100" t="e">
        <f>'Разд 1.2 ИЦ'!#REF!</f>
        <v>#REF!</v>
      </c>
      <c r="X23" s="127" t="e">
        <f t="shared" si="4"/>
        <v>#REF!</v>
      </c>
      <c r="Y23" s="100">
        <f>'Разд 1.3 ПДД'!M72</f>
        <v>0</v>
      </c>
      <c r="Z23" s="100">
        <f>'Разд 1.3 ПДД'!N72</f>
        <v>0</v>
      </c>
      <c r="AA23" s="120">
        <f t="shared" si="5"/>
        <v>0</v>
      </c>
      <c r="AB23" s="100">
        <f>'Разд 1.1 МЗ '!G64</f>
        <v>0</v>
      </c>
      <c r="AC23" s="120">
        <f t="shared" si="6"/>
        <v>0</v>
      </c>
      <c r="AD23" s="100"/>
      <c r="AE23" s="100"/>
      <c r="AF23" s="100" t="e">
        <f>'Разд 1.2 ИЦ'!#REF!</f>
        <v>#REF!</v>
      </c>
      <c r="AG23" s="100" t="e">
        <f>'Разд 1.2 ИЦ'!#REF!</f>
        <v>#REF!</v>
      </c>
      <c r="AH23" s="131" t="e">
        <f t="shared" si="7"/>
        <v>#REF!</v>
      </c>
      <c r="AI23" s="100">
        <f>Лист2!Y23</f>
        <v>0</v>
      </c>
      <c r="AJ23" s="100">
        <f>Лист2!Z23</f>
        <v>0</v>
      </c>
      <c r="AK23" s="120">
        <f t="shared" si="8"/>
        <v>0</v>
      </c>
    </row>
    <row r="24" spans="1:37" x14ac:dyDescent="0.25">
      <c r="A24" s="126">
        <v>244</v>
      </c>
      <c r="B24" s="116" t="s">
        <v>119</v>
      </c>
      <c r="C24" s="100">
        <f>'Разд 1.1 МЗ '!I65</f>
        <v>0</v>
      </c>
      <c r="D24" s="100">
        <f>'Разд 1.1 МЗ '!J65</f>
        <v>0</v>
      </c>
      <c r="E24" s="100">
        <f>'Разд 1.1 МЗ '!K65</f>
        <v>0</v>
      </c>
      <c r="F24" s="100">
        <f>'Разд 1.1 МЗ '!L65</f>
        <v>528817.14</v>
      </c>
      <c r="G24" s="120">
        <f t="shared" si="0"/>
        <v>528817.14</v>
      </c>
      <c r="H24" s="100">
        <f>'Разд 1.2 ИЦ'!I63</f>
        <v>0</v>
      </c>
      <c r="I24" s="100" t="e">
        <f>'Разд 1.2 ИЦ'!#REF!</f>
        <v>#REF!</v>
      </c>
      <c r="J24" s="100">
        <f>'Разд 1.2 ИЦ'!J63</f>
        <v>0</v>
      </c>
      <c r="K24" s="100">
        <f>'Разд 1.2 ИЦ'!K63</f>
        <v>0</v>
      </c>
      <c r="L24" s="121" t="e">
        <f t="shared" si="1"/>
        <v>#REF!</v>
      </c>
      <c r="M24" s="100">
        <f>'Разд 1.3 ПДД'!I73</f>
        <v>1.55</v>
      </c>
      <c r="N24" s="100">
        <v>12473.16</v>
      </c>
      <c r="O24" s="100">
        <f>'Разд 1.3 ПДД'!J73-N24</f>
        <v>-12473.16</v>
      </c>
      <c r="P24" s="100">
        <f>'Разд 1.3 ПДД'!K73</f>
        <v>0</v>
      </c>
      <c r="Q24" s="120">
        <f t="shared" si="2"/>
        <v>1.5499999999992724</v>
      </c>
      <c r="R24" s="100">
        <f>'Разд 1.1 МЗ '!F65</f>
        <v>450231</v>
      </c>
      <c r="S24" s="120">
        <f t="shared" si="3"/>
        <v>450231</v>
      </c>
      <c r="T24" s="100" t="e">
        <f>'Разд 1.2 ИЦ'!#REF!</f>
        <v>#REF!</v>
      </c>
      <c r="U24" s="100" t="e">
        <f>'Разд 1.2 ИЦ'!#REF!</f>
        <v>#REF!</v>
      </c>
      <c r="V24" s="100" t="e">
        <f>'Разд 1.2 ИЦ'!#REF!</f>
        <v>#REF!</v>
      </c>
      <c r="W24" s="100" t="e">
        <f>'Разд 1.2 ИЦ'!#REF!</f>
        <v>#REF!</v>
      </c>
      <c r="X24" s="127" t="e">
        <f t="shared" si="4"/>
        <v>#REF!</v>
      </c>
      <c r="Y24" s="100">
        <f>'Разд 1.3 ПДД'!M73</f>
        <v>0</v>
      </c>
      <c r="Z24" s="100">
        <f>'Разд 1.3 ПДД'!N73</f>
        <v>0</v>
      </c>
      <c r="AA24" s="120">
        <f t="shared" si="5"/>
        <v>0</v>
      </c>
      <c r="AB24" s="100">
        <f>'Разд 1.1 МЗ '!G65</f>
        <v>450231</v>
      </c>
      <c r="AC24" s="120">
        <f t="shared" si="6"/>
        <v>450231</v>
      </c>
      <c r="AD24" s="100"/>
      <c r="AE24" s="100"/>
      <c r="AF24" s="100" t="e">
        <f>'Разд 1.2 ИЦ'!#REF!</f>
        <v>#REF!</v>
      </c>
      <c r="AG24" s="100" t="e">
        <f>'Разд 1.2 ИЦ'!#REF!</f>
        <v>#REF!</v>
      </c>
      <c r="AH24" s="131" t="e">
        <f t="shared" si="7"/>
        <v>#REF!</v>
      </c>
      <c r="AI24" s="100">
        <f>Лист2!Y24</f>
        <v>0</v>
      </c>
      <c r="AJ24" s="100">
        <f>Лист2!Z24</f>
        <v>0</v>
      </c>
      <c r="AK24" s="120">
        <f t="shared" si="8"/>
        <v>0</v>
      </c>
    </row>
    <row r="25" spans="1:37" x14ac:dyDescent="0.25">
      <c r="A25" s="126">
        <v>244</v>
      </c>
      <c r="B25" s="116" t="s">
        <v>120</v>
      </c>
      <c r="C25" s="100">
        <f>'Разд 1.1 МЗ '!I66</f>
        <v>0</v>
      </c>
      <c r="D25" s="125">
        <f>'Разд 1.1 МЗ '!J66</f>
        <v>0</v>
      </c>
      <c r="E25" s="100">
        <f>'Разд 1.1 МЗ '!K66</f>
        <v>0</v>
      </c>
      <c r="F25" s="100">
        <f>'Разд 1.1 МЗ '!L66</f>
        <v>162440</v>
      </c>
      <c r="G25" s="120">
        <f t="shared" si="0"/>
        <v>162440</v>
      </c>
      <c r="H25" s="100">
        <f>'Разд 1.2 ИЦ'!I64</f>
        <v>0</v>
      </c>
      <c r="I25" s="100" t="e">
        <f>'Разд 1.2 ИЦ'!#REF!</f>
        <v>#REF!</v>
      </c>
      <c r="J25" s="100">
        <f>'Разд 1.2 ИЦ'!J64</f>
        <v>0</v>
      </c>
      <c r="K25" s="100">
        <f>'Разд 1.2 ИЦ'!K64</f>
        <v>0</v>
      </c>
      <c r="L25" s="121" t="e">
        <f t="shared" si="1"/>
        <v>#REF!</v>
      </c>
      <c r="M25" s="100">
        <f>'Разд 1.3 ПДД'!I74</f>
        <v>250000</v>
      </c>
      <c r="N25" s="100"/>
      <c r="O25" s="100">
        <f>'Разд 1.3 ПДД'!J74</f>
        <v>893430</v>
      </c>
      <c r="P25" s="100">
        <f>'Разд 1.3 ПДД'!K74</f>
        <v>0</v>
      </c>
      <c r="Q25" s="120">
        <f t="shared" si="2"/>
        <v>1143430</v>
      </c>
      <c r="R25" s="100">
        <f>'Разд 1.1 МЗ '!F66</f>
        <v>10760</v>
      </c>
      <c r="S25" s="120">
        <f t="shared" si="3"/>
        <v>10760</v>
      </c>
      <c r="T25" s="100" t="e">
        <f>'Разд 1.2 ИЦ'!#REF!</f>
        <v>#REF!</v>
      </c>
      <c r="U25" s="100" t="e">
        <f>'Разд 1.2 ИЦ'!#REF!</f>
        <v>#REF!</v>
      </c>
      <c r="V25" s="100" t="e">
        <f>'Разд 1.2 ИЦ'!#REF!</f>
        <v>#REF!</v>
      </c>
      <c r="W25" s="100" t="e">
        <f>'Разд 1.2 ИЦ'!#REF!</f>
        <v>#REF!</v>
      </c>
      <c r="X25" s="127" t="e">
        <f t="shared" si="4"/>
        <v>#REF!</v>
      </c>
      <c r="Y25" s="100">
        <f>'Разд 1.3 ПДД'!M74</f>
        <v>0</v>
      </c>
      <c r="Z25" s="100">
        <f>'Разд 1.3 ПДД'!N74</f>
        <v>0</v>
      </c>
      <c r="AA25" s="120">
        <f t="shared" si="5"/>
        <v>0</v>
      </c>
      <c r="AB25" s="100">
        <f>'Разд 1.1 МЗ '!G66</f>
        <v>10760</v>
      </c>
      <c r="AC25" s="120">
        <f t="shared" si="6"/>
        <v>10760</v>
      </c>
      <c r="AD25" s="100"/>
      <c r="AE25" s="100"/>
      <c r="AF25" s="100" t="e">
        <f>'Разд 1.2 ИЦ'!#REF!</f>
        <v>#REF!</v>
      </c>
      <c r="AG25" s="100" t="e">
        <f>'Разд 1.2 ИЦ'!#REF!</f>
        <v>#REF!</v>
      </c>
      <c r="AH25" s="131" t="e">
        <f t="shared" si="7"/>
        <v>#REF!</v>
      </c>
      <c r="AI25" s="100">
        <f>Лист2!Y25</f>
        <v>0</v>
      </c>
      <c r="AJ25" s="100">
        <f>Лист2!Z25</f>
        <v>0</v>
      </c>
      <c r="AK25" s="120">
        <f t="shared" si="8"/>
        <v>0</v>
      </c>
    </row>
    <row r="26" spans="1:37" x14ac:dyDescent="0.25">
      <c r="A26" s="126">
        <v>244</v>
      </c>
      <c r="B26" s="116" t="s">
        <v>121</v>
      </c>
      <c r="C26" s="100">
        <f>'Разд 1.1 МЗ '!I67</f>
        <v>0</v>
      </c>
      <c r="D26" s="100">
        <f>'Разд 1.1 МЗ '!J67</f>
        <v>0</v>
      </c>
      <c r="E26" s="100">
        <f>'Разд 1.1 МЗ '!K67</f>
        <v>0</v>
      </c>
      <c r="F26" s="100">
        <f>'Разд 1.1 МЗ '!L67</f>
        <v>6438945.9500000002</v>
      </c>
      <c r="G26" s="120">
        <f t="shared" si="0"/>
        <v>6438945.9500000002</v>
      </c>
      <c r="H26" s="100">
        <f>'Разд 1.2 ИЦ'!I65</f>
        <v>0</v>
      </c>
      <c r="I26" s="100" t="e">
        <f>'Разд 1.2 ИЦ'!#REF!</f>
        <v>#REF!</v>
      </c>
      <c r="J26" s="100">
        <f>'Разд 1.2 ИЦ'!J65</f>
        <v>50000</v>
      </c>
      <c r="K26" s="100">
        <f>'Разд 1.2 ИЦ'!K65</f>
        <v>0</v>
      </c>
      <c r="L26" s="121" t="e">
        <f t="shared" si="1"/>
        <v>#REF!</v>
      </c>
      <c r="M26" s="100">
        <f>'Разд 1.3 ПДД'!I75</f>
        <v>264104.88</v>
      </c>
      <c r="N26" s="100"/>
      <c r="O26" s="100">
        <f>'Разд 1.3 ПДД'!J75</f>
        <v>551180</v>
      </c>
      <c r="P26" s="100">
        <f>'Разд 1.3 ПДД'!K75</f>
        <v>0</v>
      </c>
      <c r="Q26" s="120">
        <f t="shared" si="2"/>
        <v>815284.88</v>
      </c>
      <c r="R26" s="100">
        <f>'Разд 1.1 МЗ '!F67</f>
        <v>5992596</v>
      </c>
      <c r="S26" s="120">
        <f t="shared" si="3"/>
        <v>5992596</v>
      </c>
      <c r="T26" s="100" t="e">
        <f>'Разд 1.2 ИЦ'!#REF!</f>
        <v>#REF!</v>
      </c>
      <c r="U26" s="100" t="e">
        <f>'Разд 1.2 ИЦ'!#REF!</f>
        <v>#REF!</v>
      </c>
      <c r="V26" s="100" t="e">
        <f>'Разд 1.2 ИЦ'!#REF!</f>
        <v>#REF!</v>
      </c>
      <c r="W26" s="100" t="e">
        <f>'Разд 1.2 ИЦ'!#REF!</f>
        <v>#REF!</v>
      </c>
      <c r="X26" s="127" t="e">
        <f t="shared" si="4"/>
        <v>#REF!</v>
      </c>
      <c r="Y26" s="100">
        <f>'Разд 1.3 ПДД'!M75</f>
        <v>0</v>
      </c>
      <c r="Z26" s="100">
        <f>'Разд 1.3 ПДД'!N75</f>
        <v>0</v>
      </c>
      <c r="AA26" s="120">
        <f t="shared" si="5"/>
        <v>0</v>
      </c>
      <c r="AB26" s="100">
        <f>'Разд 1.1 МЗ '!G67</f>
        <v>5992596</v>
      </c>
      <c r="AC26" s="120">
        <f t="shared" si="6"/>
        <v>5992596</v>
      </c>
      <c r="AD26" s="100"/>
      <c r="AE26" s="100"/>
      <c r="AF26" s="100" t="e">
        <f>'Разд 1.2 ИЦ'!#REF!</f>
        <v>#REF!</v>
      </c>
      <c r="AG26" s="100" t="e">
        <f>'Разд 1.2 ИЦ'!#REF!</f>
        <v>#REF!</v>
      </c>
      <c r="AH26" s="131" t="e">
        <f t="shared" si="7"/>
        <v>#REF!</v>
      </c>
      <c r="AI26" s="100">
        <f>Лист2!Y26</f>
        <v>0</v>
      </c>
      <c r="AJ26" s="100">
        <f>Лист2!Z26</f>
        <v>0</v>
      </c>
      <c r="AK26" s="120">
        <f t="shared" si="8"/>
        <v>0</v>
      </c>
    </row>
    <row r="27" spans="1:37" x14ac:dyDescent="0.25">
      <c r="A27" s="126">
        <v>244</v>
      </c>
      <c r="B27" s="116" t="s">
        <v>99</v>
      </c>
      <c r="C27" s="100">
        <f>'Разд 1.1 МЗ '!I68</f>
        <v>0</v>
      </c>
      <c r="D27" s="100">
        <f>'Разд 1.1 МЗ '!J68</f>
        <v>0</v>
      </c>
      <c r="E27" s="100">
        <f>'Разд 1.1 МЗ '!K68</f>
        <v>0</v>
      </c>
      <c r="F27" s="100">
        <f>'Разд 1.1 МЗ '!L68</f>
        <v>8464028.7400000021</v>
      </c>
      <c r="G27" s="120">
        <f t="shared" si="0"/>
        <v>8464028.7400000021</v>
      </c>
      <c r="H27" s="100">
        <f>'Разд 1.2 ИЦ'!I66</f>
        <v>14900</v>
      </c>
      <c r="I27" s="100" t="e">
        <f>'Разд 1.2 ИЦ'!#REF!</f>
        <v>#REF!</v>
      </c>
      <c r="J27" s="100">
        <f>'Разд 1.2 ИЦ'!J66</f>
        <v>570445.39</v>
      </c>
      <c r="K27" s="100">
        <f>'Разд 1.2 ИЦ'!K66</f>
        <v>0</v>
      </c>
      <c r="L27" s="121" t="e">
        <f t="shared" si="1"/>
        <v>#REF!</v>
      </c>
      <c r="M27" s="100">
        <f>'Разд 1.3 ПДД'!I76</f>
        <v>308083.94999999995</v>
      </c>
      <c r="N27" s="100"/>
      <c r="O27" s="100">
        <f>'Разд 1.3 ПДД'!J76</f>
        <v>16115</v>
      </c>
      <c r="P27" s="100">
        <f>'Разд 1.3 ПДД'!K76</f>
        <v>70366</v>
      </c>
      <c r="Q27" s="120">
        <f t="shared" si="2"/>
        <v>394564.94999999995</v>
      </c>
      <c r="R27" s="100">
        <f>'Разд 1.1 МЗ '!F68</f>
        <v>10374745</v>
      </c>
      <c r="S27" s="120">
        <f t="shared" si="3"/>
        <v>10374745</v>
      </c>
      <c r="T27" s="100" t="e">
        <f>'Разд 1.2 ИЦ'!#REF!</f>
        <v>#REF!</v>
      </c>
      <c r="U27" s="100" t="e">
        <f>'Разд 1.2 ИЦ'!#REF!</f>
        <v>#REF!</v>
      </c>
      <c r="V27" s="100" t="e">
        <f>'Разд 1.2 ИЦ'!#REF!</f>
        <v>#REF!</v>
      </c>
      <c r="W27" s="100" t="e">
        <f>'Разд 1.2 ИЦ'!#REF!</f>
        <v>#REF!</v>
      </c>
      <c r="X27" s="127" t="e">
        <f t="shared" si="4"/>
        <v>#REF!</v>
      </c>
      <c r="Y27" s="100">
        <f>'Разд 1.3 ПДД'!M76</f>
        <v>0</v>
      </c>
      <c r="Z27" s="100">
        <f>'Разд 1.3 ПДД'!N76</f>
        <v>0</v>
      </c>
      <c r="AA27" s="120">
        <f t="shared" si="5"/>
        <v>0</v>
      </c>
      <c r="AB27" s="100">
        <f>'Разд 1.1 МЗ '!G68</f>
        <v>10374745</v>
      </c>
      <c r="AC27" s="120">
        <f t="shared" si="6"/>
        <v>10374745</v>
      </c>
      <c r="AD27" s="100" t="e">
        <f>'Разд 1.2 ИЦ'!#REF!</f>
        <v>#REF!</v>
      </c>
      <c r="AE27" s="100"/>
      <c r="AF27" s="100" t="e">
        <f>'Разд 1.2 ИЦ'!#REF!</f>
        <v>#REF!</v>
      </c>
      <c r="AG27" s="100" t="e">
        <f>'Разд 1.2 ИЦ'!#REF!</f>
        <v>#REF!</v>
      </c>
      <c r="AH27" s="131" t="e">
        <f t="shared" si="7"/>
        <v>#REF!</v>
      </c>
      <c r="AI27" s="100">
        <f>Лист2!Y27</f>
        <v>0</v>
      </c>
      <c r="AJ27" s="100">
        <f>Лист2!Z27</f>
        <v>0</v>
      </c>
      <c r="AK27" s="120">
        <f t="shared" si="8"/>
        <v>0</v>
      </c>
    </row>
    <row r="28" spans="1:37" x14ac:dyDescent="0.25">
      <c r="A28" s="126">
        <v>244</v>
      </c>
      <c r="B28" s="116" t="s">
        <v>122</v>
      </c>
      <c r="C28" s="100">
        <f>'Разд 1.1 МЗ '!I69</f>
        <v>0</v>
      </c>
      <c r="D28" s="100">
        <f>'Разд 1.1 МЗ '!J69</f>
        <v>0</v>
      </c>
      <c r="E28" s="100">
        <f>'Разд 1.1 МЗ '!K69</f>
        <v>0</v>
      </c>
      <c r="F28" s="100">
        <f>'Разд 1.1 МЗ '!L69</f>
        <v>29967.34</v>
      </c>
      <c r="G28" s="120">
        <f t="shared" si="0"/>
        <v>29967.34</v>
      </c>
      <c r="H28" s="100">
        <f>'Разд 1.2 ИЦ'!I67</f>
        <v>0</v>
      </c>
      <c r="I28" s="100" t="e">
        <f>'Разд 1.2 ИЦ'!#REF!</f>
        <v>#REF!</v>
      </c>
      <c r="J28" s="100">
        <f>'Разд 1.2 ИЦ'!J67</f>
        <v>0</v>
      </c>
      <c r="K28" s="100">
        <f>'Разд 1.2 ИЦ'!K67</f>
        <v>0</v>
      </c>
      <c r="L28" s="121" t="e">
        <f t="shared" si="1"/>
        <v>#REF!</v>
      </c>
      <c r="M28" s="100">
        <f>'Разд 1.3 ПДД'!I77</f>
        <v>0</v>
      </c>
      <c r="N28" s="100"/>
      <c r="O28" s="100">
        <f>'Разд 1.3 ПДД'!J77</f>
        <v>0</v>
      </c>
      <c r="P28" s="100">
        <f>'Разд 1.3 ПДД'!K77</f>
        <v>0</v>
      </c>
      <c r="Q28" s="120">
        <f t="shared" si="2"/>
        <v>0</v>
      </c>
      <c r="R28" s="100">
        <f>'Разд 1.1 МЗ '!F69</f>
        <v>25309.360000000001</v>
      </c>
      <c r="S28" s="120">
        <f t="shared" si="3"/>
        <v>25309.360000000001</v>
      </c>
      <c r="T28" s="100" t="e">
        <f>'Разд 1.2 ИЦ'!#REF!</f>
        <v>#REF!</v>
      </c>
      <c r="U28" s="100" t="e">
        <f>'Разд 1.2 ИЦ'!#REF!</f>
        <v>#REF!</v>
      </c>
      <c r="V28" s="100" t="e">
        <f>'Разд 1.2 ИЦ'!#REF!</f>
        <v>#REF!</v>
      </c>
      <c r="W28" s="100" t="e">
        <f>'Разд 1.2 ИЦ'!#REF!</f>
        <v>#REF!</v>
      </c>
      <c r="X28" s="127" t="e">
        <f t="shared" si="4"/>
        <v>#REF!</v>
      </c>
      <c r="Y28" s="100">
        <f>'Разд 1.3 ПДД'!M77</f>
        <v>0</v>
      </c>
      <c r="Z28" s="100">
        <f>'Разд 1.3 ПДД'!N77</f>
        <v>0</v>
      </c>
      <c r="AA28" s="120">
        <f t="shared" si="5"/>
        <v>0</v>
      </c>
      <c r="AB28" s="100">
        <f>'Разд 1.1 МЗ '!G69</f>
        <v>25309.360000000001</v>
      </c>
      <c r="AC28" s="120">
        <f t="shared" si="6"/>
        <v>25309.360000000001</v>
      </c>
      <c r="AD28" s="100"/>
      <c r="AE28" s="100"/>
      <c r="AF28" s="100" t="e">
        <f>'Разд 1.2 ИЦ'!#REF!</f>
        <v>#REF!</v>
      </c>
      <c r="AG28" s="100" t="e">
        <f>'Разд 1.2 ИЦ'!#REF!</f>
        <v>#REF!</v>
      </c>
      <c r="AH28" s="131" t="e">
        <f t="shared" si="7"/>
        <v>#REF!</v>
      </c>
      <c r="AI28" s="100">
        <f>Лист2!Y28</f>
        <v>0</v>
      </c>
      <c r="AJ28" s="100">
        <f>Лист2!Z28</f>
        <v>0</v>
      </c>
      <c r="AK28" s="120">
        <f t="shared" si="8"/>
        <v>0</v>
      </c>
    </row>
    <row r="29" spans="1:37" x14ac:dyDescent="0.25">
      <c r="A29" s="126">
        <v>244</v>
      </c>
      <c r="B29" s="116" t="s">
        <v>123</v>
      </c>
      <c r="C29" s="100">
        <f>'Разд 1.1 МЗ '!I70</f>
        <v>0</v>
      </c>
      <c r="D29" s="100">
        <f>'Разд 1.1 МЗ '!J70</f>
        <v>0</v>
      </c>
      <c r="E29" s="100">
        <f>'Разд 1.1 МЗ '!K70</f>
        <v>0</v>
      </c>
      <c r="F29" s="100">
        <f>'Разд 1.1 МЗ '!L70</f>
        <v>0</v>
      </c>
      <c r="G29" s="120">
        <f t="shared" si="0"/>
        <v>0</v>
      </c>
      <c r="H29" s="100">
        <f>'Разд 1.2 ИЦ'!I68</f>
        <v>0</v>
      </c>
      <c r="I29" s="100" t="e">
        <f>'Разд 1.2 ИЦ'!#REF!</f>
        <v>#REF!</v>
      </c>
      <c r="J29" s="100">
        <f>'Разд 1.2 ИЦ'!J68</f>
        <v>60947.9</v>
      </c>
      <c r="K29" s="100">
        <f>'Разд 1.2 ИЦ'!K68</f>
        <v>0</v>
      </c>
      <c r="L29" s="121" t="e">
        <f t="shared" si="1"/>
        <v>#REF!</v>
      </c>
      <c r="M29" s="100">
        <f>'Разд 1.3 ПДД'!I78</f>
        <v>32490</v>
      </c>
      <c r="N29" s="100"/>
      <c r="O29" s="100">
        <f>'Разд 1.3 ПДД'!J78</f>
        <v>0</v>
      </c>
      <c r="P29" s="100">
        <f>'Разд 1.3 ПДД'!K78</f>
        <v>0</v>
      </c>
      <c r="Q29" s="120">
        <f t="shared" si="2"/>
        <v>32490</v>
      </c>
      <c r="R29" s="100">
        <f>'Разд 1.1 МЗ '!F70</f>
        <v>0</v>
      </c>
      <c r="S29" s="120">
        <f t="shared" si="3"/>
        <v>0</v>
      </c>
      <c r="T29" s="100" t="e">
        <f>'Разд 1.2 ИЦ'!#REF!</f>
        <v>#REF!</v>
      </c>
      <c r="U29" s="100" t="e">
        <f>'Разд 1.2 ИЦ'!#REF!</f>
        <v>#REF!</v>
      </c>
      <c r="V29" s="100" t="e">
        <f>'Разд 1.2 ИЦ'!#REF!</f>
        <v>#REF!</v>
      </c>
      <c r="W29" s="100" t="e">
        <f>'Разд 1.2 ИЦ'!#REF!</f>
        <v>#REF!</v>
      </c>
      <c r="X29" s="127" t="e">
        <f t="shared" si="4"/>
        <v>#REF!</v>
      </c>
      <c r="Y29" s="100">
        <f>'Разд 1.3 ПДД'!M78</f>
        <v>0</v>
      </c>
      <c r="Z29" s="100">
        <f>'Разд 1.3 ПДД'!N78</f>
        <v>0</v>
      </c>
      <c r="AA29" s="120">
        <f t="shared" si="5"/>
        <v>0</v>
      </c>
      <c r="AB29" s="100">
        <f>'Разд 1.1 МЗ '!G70</f>
        <v>0</v>
      </c>
      <c r="AC29" s="120">
        <f t="shared" si="6"/>
        <v>0</v>
      </c>
      <c r="AD29" s="100"/>
      <c r="AE29" s="100"/>
      <c r="AF29" s="100" t="e">
        <f>'Разд 1.2 ИЦ'!#REF!</f>
        <v>#REF!</v>
      </c>
      <c r="AG29" s="100" t="e">
        <f>'Разд 1.2 ИЦ'!#REF!</f>
        <v>#REF!</v>
      </c>
      <c r="AH29" s="131" t="e">
        <f t="shared" si="7"/>
        <v>#REF!</v>
      </c>
      <c r="AI29" s="100">
        <f>Лист2!Y29</f>
        <v>0</v>
      </c>
      <c r="AJ29" s="100">
        <f>Лист2!Z29</f>
        <v>0</v>
      </c>
      <c r="AK29" s="120">
        <f t="shared" si="8"/>
        <v>0</v>
      </c>
    </row>
    <row r="30" spans="1:37" x14ac:dyDescent="0.25">
      <c r="A30" s="126">
        <v>244</v>
      </c>
      <c r="B30" s="116" t="s">
        <v>124</v>
      </c>
      <c r="C30" s="100">
        <f>'Разд 1.1 МЗ '!I72</f>
        <v>0</v>
      </c>
      <c r="D30" s="100">
        <f>'Разд 1.1 МЗ '!J72</f>
        <v>0</v>
      </c>
      <c r="E30" s="100">
        <f>'Разд 1.1 МЗ '!K72</f>
        <v>0</v>
      </c>
      <c r="F30" s="100">
        <f>'Разд 1.1 МЗ '!L72</f>
        <v>0</v>
      </c>
      <c r="G30" s="120">
        <f t="shared" si="0"/>
        <v>0</v>
      </c>
      <c r="H30" s="100">
        <f>'Разд 1.2 ИЦ'!I69</f>
        <v>0</v>
      </c>
      <c r="I30" s="100" t="e">
        <f>'Разд 1.2 ИЦ'!#REF!</f>
        <v>#REF!</v>
      </c>
      <c r="J30" s="100">
        <f>'Разд 1.2 ИЦ'!J69</f>
        <v>3578592.71</v>
      </c>
      <c r="K30" s="100">
        <f>'Разд 1.2 ИЦ'!K69</f>
        <v>0</v>
      </c>
      <c r="L30" s="121" t="e">
        <f t="shared" si="1"/>
        <v>#REF!</v>
      </c>
      <c r="M30" s="100">
        <f>'Разд 1.3 ПДД'!I79</f>
        <v>491174.79000000004</v>
      </c>
      <c r="N30" s="100"/>
      <c r="O30" s="100">
        <f>'Разд 1.3 ПДД'!J79</f>
        <v>416755.47</v>
      </c>
      <c r="P30" s="100">
        <f>'Разд 1.3 ПДД'!K79</f>
        <v>32012</v>
      </c>
      <c r="Q30" s="120">
        <f t="shared" si="2"/>
        <v>939942.26</v>
      </c>
      <c r="R30" s="100">
        <f>'Разд 1.1 МЗ '!F72</f>
        <v>0</v>
      </c>
      <c r="S30" s="120">
        <f t="shared" si="3"/>
        <v>0</v>
      </c>
      <c r="T30" s="100" t="e">
        <f>'Разд 1.2 ИЦ'!#REF!</f>
        <v>#REF!</v>
      </c>
      <c r="U30" s="100" t="e">
        <f>'Разд 1.2 ИЦ'!#REF!</f>
        <v>#REF!</v>
      </c>
      <c r="V30" s="100" t="e">
        <f>'Разд 1.2 ИЦ'!#REF!</f>
        <v>#REF!</v>
      </c>
      <c r="W30" s="100" t="e">
        <f>'Разд 1.2 ИЦ'!#REF!</f>
        <v>#REF!</v>
      </c>
      <c r="X30" s="127" t="e">
        <f t="shared" si="4"/>
        <v>#REF!</v>
      </c>
      <c r="Y30" s="100">
        <f>'Разд 1.3 ПДД'!M79</f>
        <v>0</v>
      </c>
      <c r="Z30" s="100">
        <f>'Разд 1.3 ПДД'!N79</f>
        <v>0</v>
      </c>
      <c r="AA30" s="120">
        <f t="shared" si="5"/>
        <v>0</v>
      </c>
      <c r="AB30" s="100">
        <f>'Разд 1.1 МЗ '!G72</f>
        <v>0</v>
      </c>
      <c r="AC30" s="120">
        <f t="shared" si="6"/>
        <v>0</v>
      </c>
      <c r="AD30" s="100"/>
      <c r="AE30" s="100"/>
      <c r="AF30" s="100" t="e">
        <f>'Разд 1.2 ИЦ'!#REF!</f>
        <v>#REF!</v>
      </c>
      <c r="AG30" s="100" t="e">
        <f>'Разд 1.2 ИЦ'!#REF!</f>
        <v>#REF!</v>
      </c>
      <c r="AH30" s="131" t="e">
        <f t="shared" si="7"/>
        <v>#REF!</v>
      </c>
      <c r="AI30" s="100">
        <f>Лист2!Y30</f>
        <v>0</v>
      </c>
      <c r="AJ30" s="100">
        <f>Лист2!Z30</f>
        <v>0</v>
      </c>
      <c r="AK30" s="120">
        <f t="shared" si="8"/>
        <v>0</v>
      </c>
    </row>
    <row r="31" spans="1:37" x14ac:dyDescent="0.25">
      <c r="A31" s="126">
        <v>244</v>
      </c>
      <c r="B31" s="116" t="s">
        <v>125</v>
      </c>
      <c r="C31" s="100">
        <f>'Разд 1.1 МЗ '!I73</f>
        <v>0</v>
      </c>
      <c r="D31" s="100">
        <f>'Разд 1.1 МЗ '!J73</f>
        <v>0</v>
      </c>
      <c r="E31" s="100">
        <f>'Разд 1.1 МЗ '!K73</f>
        <v>0</v>
      </c>
      <c r="F31" s="100">
        <f>'Разд 1.1 МЗ '!L73</f>
        <v>92241.5</v>
      </c>
      <c r="G31" s="120">
        <f t="shared" si="0"/>
        <v>92241.5</v>
      </c>
      <c r="H31" s="100">
        <f>'Разд 1.2 ИЦ'!I70</f>
        <v>0</v>
      </c>
      <c r="I31" s="100" t="e">
        <f>'Разд 1.2 ИЦ'!#REF!</f>
        <v>#REF!</v>
      </c>
      <c r="J31" s="100">
        <f>'Разд 1.2 ИЦ'!J70</f>
        <v>0</v>
      </c>
      <c r="K31" s="100">
        <f>'Разд 1.2 ИЦ'!K70</f>
        <v>0</v>
      </c>
      <c r="L31" s="121" t="e">
        <f t="shared" si="1"/>
        <v>#REF!</v>
      </c>
      <c r="M31" s="100">
        <f>'Разд 1.3 ПДД'!I80</f>
        <v>0</v>
      </c>
      <c r="N31" s="100"/>
      <c r="O31" s="100">
        <f>'Разд 1.3 ПДД'!J80</f>
        <v>0</v>
      </c>
      <c r="P31" s="100">
        <f>'Разд 1.3 ПДД'!K80</f>
        <v>0</v>
      </c>
      <c r="Q31" s="120">
        <f t="shared" si="2"/>
        <v>0</v>
      </c>
      <c r="R31" s="100">
        <f>'Разд 1.1 МЗ '!F73</f>
        <v>0</v>
      </c>
      <c r="S31" s="120">
        <f t="shared" si="3"/>
        <v>0</v>
      </c>
      <c r="T31" s="100" t="e">
        <f>'Разд 1.2 ИЦ'!#REF!</f>
        <v>#REF!</v>
      </c>
      <c r="U31" s="100" t="e">
        <f>'Разд 1.2 ИЦ'!#REF!</f>
        <v>#REF!</v>
      </c>
      <c r="V31" s="100" t="e">
        <f>'Разд 1.2 ИЦ'!#REF!</f>
        <v>#REF!</v>
      </c>
      <c r="W31" s="100" t="e">
        <f>'Разд 1.2 ИЦ'!#REF!</f>
        <v>#REF!</v>
      </c>
      <c r="X31" s="127" t="e">
        <f t="shared" si="4"/>
        <v>#REF!</v>
      </c>
      <c r="Y31" s="100">
        <f>'Разд 1.3 ПДД'!M80</f>
        <v>0</v>
      </c>
      <c r="Z31" s="100">
        <f>'Разд 1.3 ПДД'!N80</f>
        <v>0</v>
      </c>
      <c r="AA31" s="120">
        <f t="shared" si="5"/>
        <v>0</v>
      </c>
      <c r="AB31" s="100">
        <f>'Разд 1.1 МЗ '!G73</f>
        <v>0</v>
      </c>
      <c r="AC31" s="120">
        <f t="shared" si="6"/>
        <v>0</v>
      </c>
      <c r="AD31" s="100"/>
      <c r="AE31" s="100"/>
      <c r="AF31" s="100" t="e">
        <f>'Разд 1.2 ИЦ'!#REF!</f>
        <v>#REF!</v>
      </c>
      <c r="AG31" s="100" t="e">
        <f>'Разд 1.2 ИЦ'!#REF!</f>
        <v>#REF!</v>
      </c>
      <c r="AH31" s="131" t="e">
        <f t="shared" si="7"/>
        <v>#REF!</v>
      </c>
      <c r="AI31" s="100">
        <f>Лист2!Y31</f>
        <v>0</v>
      </c>
      <c r="AJ31" s="100">
        <f>Лист2!Z31</f>
        <v>0</v>
      </c>
      <c r="AK31" s="120">
        <f t="shared" si="8"/>
        <v>0</v>
      </c>
    </row>
    <row r="32" spans="1:37" x14ac:dyDescent="0.25">
      <c r="A32" s="126">
        <v>244</v>
      </c>
      <c r="B32" s="116" t="s">
        <v>126</v>
      </c>
      <c r="C32" s="100">
        <f>'Разд 1.1 МЗ '!I74</f>
        <v>0</v>
      </c>
      <c r="D32" s="100">
        <f>'Разд 1.1 МЗ '!J74</f>
        <v>0</v>
      </c>
      <c r="E32" s="100">
        <f>'Разд 1.1 МЗ '!K74</f>
        <v>0</v>
      </c>
      <c r="F32" s="100">
        <f>'Разд 1.1 МЗ '!L74</f>
        <v>574475.52000000002</v>
      </c>
      <c r="G32" s="120">
        <f t="shared" si="0"/>
        <v>574475.52000000002</v>
      </c>
      <c r="H32" s="100">
        <f>'Разд 1.2 ИЦ'!I71</f>
        <v>0</v>
      </c>
      <c r="I32" s="100" t="e">
        <f>'Разд 1.2 ИЦ'!#REF!</f>
        <v>#REF!</v>
      </c>
      <c r="J32" s="100">
        <f>'Разд 1.2 ИЦ'!J71</f>
        <v>8000</v>
      </c>
      <c r="K32" s="100">
        <f>'Разд 1.2 ИЦ'!K71</f>
        <v>0</v>
      </c>
      <c r="L32" s="121" t="e">
        <f t="shared" si="1"/>
        <v>#REF!</v>
      </c>
      <c r="M32" s="100">
        <f>'Разд 1.3 ПДД'!I81</f>
        <v>83233.289999999979</v>
      </c>
      <c r="N32" s="100"/>
      <c r="O32" s="100">
        <f>'Разд 1.3 ПДД'!J81</f>
        <v>0</v>
      </c>
      <c r="P32" s="100">
        <f>'Разд 1.3 ПДД'!K81</f>
        <v>0</v>
      </c>
      <c r="Q32" s="120">
        <f t="shared" si="2"/>
        <v>83233.289999999979</v>
      </c>
      <c r="R32" s="100">
        <f>'Разд 1.1 МЗ '!F74</f>
        <v>637671</v>
      </c>
      <c r="S32" s="120">
        <f t="shared" si="3"/>
        <v>637671</v>
      </c>
      <c r="T32" s="100" t="e">
        <f>'Разд 1.2 ИЦ'!#REF!</f>
        <v>#REF!</v>
      </c>
      <c r="U32" s="100" t="e">
        <f>'Разд 1.2 ИЦ'!#REF!</f>
        <v>#REF!</v>
      </c>
      <c r="V32" s="100" t="e">
        <f>'Разд 1.2 ИЦ'!#REF!</f>
        <v>#REF!</v>
      </c>
      <c r="W32" s="100" t="e">
        <f>'Разд 1.2 ИЦ'!#REF!</f>
        <v>#REF!</v>
      </c>
      <c r="X32" s="127" t="e">
        <f t="shared" si="4"/>
        <v>#REF!</v>
      </c>
      <c r="Y32" s="100">
        <f>'Разд 1.3 ПДД'!M81</f>
        <v>0</v>
      </c>
      <c r="Z32" s="100">
        <f>'Разд 1.3 ПДД'!N81</f>
        <v>0</v>
      </c>
      <c r="AA32" s="120">
        <f t="shared" si="5"/>
        <v>0</v>
      </c>
      <c r="AB32" s="100">
        <f>'Разд 1.1 МЗ '!G74</f>
        <v>637671</v>
      </c>
      <c r="AC32" s="120">
        <f t="shared" si="6"/>
        <v>637671</v>
      </c>
      <c r="AD32" s="100"/>
      <c r="AE32" s="100"/>
      <c r="AF32" s="100" t="e">
        <f>'Разд 1.2 ИЦ'!#REF!</f>
        <v>#REF!</v>
      </c>
      <c r="AG32" s="100" t="e">
        <f>'Разд 1.2 ИЦ'!#REF!</f>
        <v>#REF!</v>
      </c>
      <c r="AH32" s="131" t="e">
        <f t="shared" si="7"/>
        <v>#REF!</v>
      </c>
      <c r="AI32" s="100">
        <f>Лист2!Y32</f>
        <v>0</v>
      </c>
      <c r="AJ32" s="100">
        <f>Лист2!Z32</f>
        <v>0</v>
      </c>
      <c r="AK32" s="120">
        <f t="shared" si="8"/>
        <v>0</v>
      </c>
    </row>
    <row r="33" spans="1:37" x14ac:dyDescent="0.25">
      <c r="A33" s="126">
        <v>244</v>
      </c>
      <c r="B33" s="116" t="s">
        <v>127</v>
      </c>
      <c r="C33" s="100">
        <f>'Разд 1.1 МЗ '!I75</f>
        <v>0</v>
      </c>
      <c r="D33" s="100">
        <f>'Разд 1.1 МЗ '!J75</f>
        <v>0</v>
      </c>
      <c r="E33" s="100">
        <f>'Разд 1.1 МЗ '!K75</f>
        <v>0</v>
      </c>
      <c r="F33" s="100">
        <f>'Разд 1.1 МЗ '!L75</f>
        <v>247092</v>
      </c>
      <c r="G33" s="120">
        <f t="shared" si="0"/>
        <v>247092</v>
      </c>
      <c r="H33" s="100">
        <f>'Разд 1.2 ИЦ'!I72</f>
        <v>0</v>
      </c>
      <c r="I33" s="100" t="e">
        <f>'Разд 1.2 ИЦ'!#REF!</f>
        <v>#REF!</v>
      </c>
      <c r="J33" s="100">
        <f>'Разд 1.2 ИЦ'!J72</f>
        <v>0</v>
      </c>
      <c r="K33" s="100">
        <f>'Разд 1.2 ИЦ'!K72</f>
        <v>0</v>
      </c>
      <c r="L33" s="121" t="e">
        <f t="shared" si="1"/>
        <v>#REF!</v>
      </c>
      <c r="M33" s="100">
        <f>'Разд 1.3 ПДД'!I82</f>
        <v>0</v>
      </c>
      <c r="N33" s="100"/>
      <c r="O33" s="100">
        <f>'Разд 1.3 ПДД'!J82</f>
        <v>0</v>
      </c>
      <c r="P33" s="100">
        <f>'Разд 1.3 ПДД'!K82</f>
        <v>0</v>
      </c>
      <c r="Q33" s="120">
        <f t="shared" si="2"/>
        <v>0</v>
      </c>
      <c r="R33" s="100">
        <f>'Разд 1.1 МЗ '!F75</f>
        <v>0</v>
      </c>
      <c r="S33" s="120">
        <f t="shared" si="3"/>
        <v>0</v>
      </c>
      <c r="T33" s="100" t="e">
        <f>'Разд 1.2 ИЦ'!#REF!</f>
        <v>#REF!</v>
      </c>
      <c r="U33" s="100" t="e">
        <f>'Разд 1.2 ИЦ'!#REF!</f>
        <v>#REF!</v>
      </c>
      <c r="V33" s="100" t="e">
        <f>'Разд 1.2 ИЦ'!#REF!</f>
        <v>#REF!</v>
      </c>
      <c r="W33" s="100" t="e">
        <f>'Разд 1.2 ИЦ'!#REF!</f>
        <v>#REF!</v>
      </c>
      <c r="X33" s="127" t="e">
        <f t="shared" si="4"/>
        <v>#REF!</v>
      </c>
      <c r="Y33" s="100">
        <f>'Разд 1.3 ПДД'!M82</f>
        <v>0</v>
      </c>
      <c r="Z33" s="100">
        <f>'Разд 1.3 ПДД'!N82</f>
        <v>0</v>
      </c>
      <c r="AA33" s="120">
        <f t="shared" si="5"/>
        <v>0</v>
      </c>
      <c r="AB33" s="100">
        <f>'Разд 1.1 МЗ '!G75</f>
        <v>0</v>
      </c>
      <c r="AC33" s="120">
        <f t="shared" si="6"/>
        <v>0</v>
      </c>
      <c r="AD33" s="100"/>
      <c r="AE33" s="100"/>
      <c r="AF33" s="100" t="e">
        <f>'Разд 1.2 ИЦ'!#REF!</f>
        <v>#REF!</v>
      </c>
      <c r="AG33" s="100" t="e">
        <f>'Разд 1.2 ИЦ'!#REF!</f>
        <v>#REF!</v>
      </c>
      <c r="AH33" s="131" t="e">
        <f t="shared" si="7"/>
        <v>#REF!</v>
      </c>
      <c r="AI33" s="100">
        <f>Лист2!Y33</f>
        <v>0</v>
      </c>
      <c r="AJ33" s="100">
        <f>Лист2!Z33</f>
        <v>0</v>
      </c>
      <c r="AK33" s="120">
        <f t="shared" si="8"/>
        <v>0</v>
      </c>
    </row>
    <row r="34" spans="1:37" x14ac:dyDescent="0.25">
      <c r="A34" s="126">
        <v>244</v>
      </c>
      <c r="B34" s="116" t="s">
        <v>128</v>
      </c>
      <c r="C34" s="100">
        <f>'Разд 1.1 МЗ '!I76</f>
        <v>0</v>
      </c>
      <c r="D34" s="100">
        <f>'Разд 1.1 МЗ '!J76</f>
        <v>0</v>
      </c>
      <c r="E34" s="100">
        <f>'Разд 1.1 МЗ '!K76</f>
        <v>0</v>
      </c>
      <c r="F34" s="100">
        <f>'Разд 1.1 МЗ '!L76</f>
        <v>0</v>
      </c>
      <c r="G34" s="120">
        <f t="shared" si="0"/>
        <v>0</v>
      </c>
      <c r="H34" s="100">
        <f>'Разд 1.2 ИЦ'!I73</f>
        <v>0</v>
      </c>
      <c r="I34" s="100" t="e">
        <f>'Разд 1.2 ИЦ'!#REF!</f>
        <v>#REF!</v>
      </c>
      <c r="J34" s="100">
        <f>'Разд 1.2 ИЦ'!J73</f>
        <v>2036689.11</v>
      </c>
      <c r="K34" s="100">
        <f>'Разд 1.2 ИЦ'!K73</f>
        <v>0</v>
      </c>
      <c r="L34" s="121" t="e">
        <f t="shared" si="1"/>
        <v>#REF!</v>
      </c>
      <c r="M34" s="100">
        <f>'Разд 1.3 ПДД'!I83</f>
        <v>24602.01</v>
      </c>
      <c r="N34" s="100"/>
      <c r="O34" s="100">
        <f>'Разд 1.3 ПДД'!J83</f>
        <v>0</v>
      </c>
      <c r="P34" s="100">
        <f>'Разд 1.3 ПДД'!K83</f>
        <v>0</v>
      </c>
      <c r="Q34" s="120">
        <f t="shared" si="2"/>
        <v>24602.01</v>
      </c>
      <c r="R34" s="100">
        <f>'Разд 1.1 МЗ '!F76</f>
        <v>0</v>
      </c>
      <c r="S34" s="120">
        <f t="shared" si="3"/>
        <v>0</v>
      </c>
      <c r="T34" s="100" t="e">
        <f>'Разд 1.2 ИЦ'!#REF!</f>
        <v>#REF!</v>
      </c>
      <c r="U34" s="100" t="e">
        <f>'Разд 1.2 ИЦ'!#REF!</f>
        <v>#REF!</v>
      </c>
      <c r="V34" s="100" t="e">
        <f>'Разд 1.2 ИЦ'!#REF!</f>
        <v>#REF!</v>
      </c>
      <c r="W34" s="100" t="e">
        <f>'Разд 1.2 ИЦ'!#REF!</f>
        <v>#REF!</v>
      </c>
      <c r="X34" s="127" t="e">
        <f t="shared" si="4"/>
        <v>#REF!</v>
      </c>
      <c r="Y34" s="100">
        <f>'Разд 1.3 ПДД'!M83</f>
        <v>0</v>
      </c>
      <c r="Z34" s="100">
        <f>'Разд 1.3 ПДД'!N83</f>
        <v>0</v>
      </c>
      <c r="AA34" s="120">
        <f t="shared" si="5"/>
        <v>0</v>
      </c>
      <c r="AB34" s="100">
        <f>'Разд 1.1 МЗ '!G76</f>
        <v>0</v>
      </c>
      <c r="AC34" s="120">
        <f t="shared" si="6"/>
        <v>0</v>
      </c>
      <c r="AD34" s="100"/>
      <c r="AE34" s="100"/>
      <c r="AF34" s="100" t="e">
        <f>'Разд 1.2 ИЦ'!#REF!</f>
        <v>#REF!</v>
      </c>
      <c r="AG34" s="100" t="e">
        <f>'Разд 1.2 ИЦ'!#REF!</f>
        <v>#REF!</v>
      </c>
      <c r="AH34" s="131" t="e">
        <f t="shared" si="7"/>
        <v>#REF!</v>
      </c>
      <c r="AI34" s="100">
        <f>Лист2!Y34</f>
        <v>0</v>
      </c>
      <c r="AJ34" s="100">
        <f>Лист2!Z34</f>
        <v>0</v>
      </c>
      <c r="AK34" s="120">
        <f t="shared" si="8"/>
        <v>0</v>
      </c>
    </row>
    <row r="35" spans="1:37" x14ac:dyDescent="0.25">
      <c r="A35" s="126">
        <v>244</v>
      </c>
      <c r="B35" s="116" t="s">
        <v>129</v>
      </c>
      <c r="C35" s="100">
        <f>'Разд 1.1 МЗ '!I77</f>
        <v>0</v>
      </c>
      <c r="D35" s="100">
        <f>'Разд 1.1 МЗ '!J77</f>
        <v>0</v>
      </c>
      <c r="E35" s="100">
        <f>'Разд 1.1 МЗ '!K77</f>
        <v>0</v>
      </c>
      <c r="F35" s="100">
        <f>'Разд 1.1 МЗ '!L77</f>
        <v>641534.53999999992</v>
      </c>
      <c r="G35" s="120">
        <f t="shared" si="0"/>
        <v>641534.53999999992</v>
      </c>
      <c r="H35" s="100">
        <f>'Разд 1.2 ИЦ'!I74</f>
        <v>0</v>
      </c>
      <c r="I35" s="100" t="e">
        <f>'Разд 1.2 ИЦ'!#REF!</f>
        <v>#REF!</v>
      </c>
      <c r="J35" s="100">
        <f>'Разд 1.2 ИЦ'!J74</f>
        <v>863910.8899999999</v>
      </c>
      <c r="K35" s="100">
        <f>'Разд 1.2 ИЦ'!K74</f>
        <v>0</v>
      </c>
      <c r="L35" s="121" t="e">
        <f t="shared" si="1"/>
        <v>#REF!</v>
      </c>
      <c r="M35" s="100">
        <f>'Разд 1.3 ПДД'!I84</f>
        <v>142790.5</v>
      </c>
      <c r="N35" s="100"/>
      <c r="O35" s="100">
        <f>'Разд 1.3 ПДД'!J84</f>
        <v>247000</v>
      </c>
      <c r="P35" s="100">
        <f>'Разд 1.3 ПДД'!K84</f>
        <v>18880</v>
      </c>
      <c r="Q35" s="120">
        <f t="shared" si="2"/>
        <v>408670.5</v>
      </c>
      <c r="R35" s="100">
        <f>'Разд 1.1 МЗ '!F77</f>
        <v>200000</v>
      </c>
      <c r="S35" s="120">
        <f t="shared" si="3"/>
        <v>200000</v>
      </c>
      <c r="T35" s="100" t="e">
        <f>'Разд 1.2 ИЦ'!#REF!</f>
        <v>#REF!</v>
      </c>
      <c r="U35" s="100" t="e">
        <f>'Разд 1.2 ИЦ'!#REF!</f>
        <v>#REF!</v>
      </c>
      <c r="V35" s="100" t="e">
        <f>'Разд 1.2 ИЦ'!#REF!</f>
        <v>#REF!</v>
      </c>
      <c r="W35" s="100" t="e">
        <f>'Разд 1.2 ИЦ'!#REF!</f>
        <v>#REF!</v>
      </c>
      <c r="X35" s="127" t="e">
        <f t="shared" si="4"/>
        <v>#REF!</v>
      </c>
      <c r="Y35" s="100">
        <f>'Разд 1.3 ПДД'!M84</f>
        <v>0</v>
      </c>
      <c r="Z35" s="100">
        <f>'Разд 1.3 ПДД'!N84</f>
        <v>0</v>
      </c>
      <c r="AA35" s="120">
        <f t="shared" si="5"/>
        <v>0</v>
      </c>
      <c r="AB35" s="100">
        <f>'Разд 1.1 МЗ '!G77</f>
        <v>200000</v>
      </c>
      <c r="AC35" s="120">
        <f t="shared" si="6"/>
        <v>200000</v>
      </c>
      <c r="AD35" s="100"/>
      <c r="AE35" s="100" t="e">
        <f>'Разд 1.2 ИЦ'!#REF!</f>
        <v>#REF!</v>
      </c>
      <c r="AF35" s="100" t="e">
        <f>'Разд 1.2 ИЦ'!#REF!</f>
        <v>#REF!</v>
      </c>
      <c r="AG35" s="100" t="e">
        <f>'Разд 1.2 ИЦ'!#REF!</f>
        <v>#REF!</v>
      </c>
      <c r="AH35" s="131" t="e">
        <f t="shared" si="7"/>
        <v>#REF!</v>
      </c>
      <c r="AI35" s="100">
        <f>Лист2!Y35</f>
        <v>0</v>
      </c>
      <c r="AJ35" s="100">
        <f>Лист2!Z35</f>
        <v>0</v>
      </c>
      <c r="AK35" s="120">
        <f t="shared" si="8"/>
        <v>0</v>
      </c>
    </row>
    <row r="36" spans="1:37" x14ac:dyDescent="0.25">
      <c r="A36" s="126">
        <v>244</v>
      </c>
      <c r="B36" s="116">
        <v>347</v>
      </c>
      <c r="C36" s="100"/>
      <c r="D36" s="100"/>
      <c r="E36" s="100"/>
      <c r="F36" s="100"/>
      <c r="G36" s="120"/>
      <c r="H36" s="100">
        <f>'Разд 1.2 ИЦ'!I75</f>
        <v>0</v>
      </c>
      <c r="I36" s="100" t="e">
        <f>'Разд 1.2 ИЦ'!#REF!</f>
        <v>#REF!</v>
      </c>
      <c r="J36" s="100">
        <f>'Разд 1.2 ИЦ'!J75</f>
        <v>59610</v>
      </c>
      <c r="K36" s="100">
        <f>'Разд 1.2 ИЦ'!K75</f>
        <v>0</v>
      </c>
      <c r="L36" s="121" t="e">
        <f t="shared" si="1"/>
        <v>#REF!</v>
      </c>
      <c r="M36" s="100">
        <f>'Разд 1.3 ПДД'!I85</f>
        <v>0</v>
      </c>
      <c r="N36" s="100"/>
      <c r="O36" s="100">
        <f>'Разд 1.3 ПДД'!J85</f>
        <v>0</v>
      </c>
      <c r="P36" s="100">
        <f>'Разд 1.3 ПДД'!K85</f>
        <v>0</v>
      </c>
      <c r="Q36" s="120">
        <f t="shared" si="2"/>
        <v>0</v>
      </c>
      <c r="R36" s="100"/>
      <c r="S36" s="120">
        <f t="shared" si="3"/>
        <v>0</v>
      </c>
      <c r="T36" s="100" t="e">
        <f>'Разд 1.2 ИЦ'!#REF!</f>
        <v>#REF!</v>
      </c>
      <c r="U36" s="100" t="e">
        <f>'Разд 1.2 ИЦ'!#REF!</f>
        <v>#REF!</v>
      </c>
      <c r="V36" s="100" t="e">
        <f>'Разд 1.2 ИЦ'!#REF!</f>
        <v>#REF!</v>
      </c>
      <c r="W36" s="100" t="e">
        <f>'Разд 1.2 ИЦ'!#REF!</f>
        <v>#REF!</v>
      </c>
      <c r="X36" s="127" t="e">
        <f t="shared" si="4"/>
        <v>#REF!</v>
      </c>
      <c r="Y36" s="100">
        <f>'Разд 1.3 ПДД'!M85</f>
        <v>0</v>
      </c>
      <c r="Z36" s="100">
        <f>'Разд 1.3 ПДД'!N85</f>
        <v>0</v>
      </c>
      <c r="AA36" s="120">
        <f t="shared" si="5"/>
        <v>0</v>
      </c>
      <c r="AB36" s="100">
        <f>'Разд 1.1 МЗ '!G78</f>
        <v>0</v>
      </c>
      <c r="AC36" s="120">
        <f t="shared" si="6"/>
        <v>0</v>
      </c>
      <c r="AD36" s="100"/>
      <c r="AE36" s="100"/>
      <c r="AF36" s="100" t="e">
        <f>'Разд 1.2 ИЦ'!#REF!</f>
        <v>#REF!</v>
      </c>
      <c r="AG36" s="100" t="e">
        <f>'Разд 1.2 ИЦ'!#REF!</f>
        <v>#REF!</v>
      </c>
      <c r="AH36" s="131" t="e">
        <f t="shared" si="7"/>
        <v>#REF!</v>
      </c>
      <c r="AI36" s="100">
        <f>Лист2!Y36</f>
        <v>0</v>
      </c>
      <c r="AJ36" s="100">
        <f>Лист2!Z36</f>
        <v>0</v>
      </c>
      <c r="AK36" s="120">
        <f t="shared" si="8"/>
        <v>0</v>
      </c>
    </row>
    <row r="37" spans="1:37" x14ac:dyDescent="0.25">
      <c r="A37" s="126">
        <v>244</v>
      </c>
      <c r="B37" s="116" t="s">
        <v>130</v>
      </c>
      <c r="C37" s="100">
        <f>'Разд 1.1 МЗ '!I78</f>
        <v>0</v>
      </c>
      <c r="D37" s="100">
        <f>'Разд 1.1 МЗ '!J78</f>
        <v>0</v>
      </c>
      <c r="E37" s="100">
        <f>'Разд 1.1 МЗ '!K78</f>
        <v>0</v>
      </c>
      <c r="F37" s="100">
        <f>'Разд 1.1 МЗ '!L78</f>
        <v>0</v>
      </c>
      <c r="G37" s="120">
        <f t="shared" si="0"/>
        <v>0</v>
      </c>
      <c r="H37" s="100">
        <f>'Разд 1.2 ИЦ'!I76</f>
        <v>0</v>
      </c>
      <c r="I37" s="100" t="e">
        <f>'Разд 1.2 ИЦ'!#REF!</f>
        <v>#REF!</v>
      </c>
      <c r="J37" s="100">
        <f>'Разд 1.2 ИЦ'!J76</f>
        <v>102070</v>
      </c>
      <c r="K37" s="100">
        <f>'Разд 1.2 ИЦ'!K76</f>
        <v>0</v>
      </c>
      <c r="L37" s="121" t="e">
        <f t="shared" si="1"/>
        <v>#REF!</v>
      </c>
      <c r="M37" s="100">
        <f>'Разд 1.3 ПДД'!I86</f>
        <v>215949.33000000002</v>
      </c>
      <c r="N37" s="100"/>
      <c r="O37" s="100">
        <f>'Разд 1.3 ПДД'!J86</f>
        <v>155040.85</v>
      </c>
      <c r="P37" s="100">
        <f>'Разд 1.3 ПДД'!K86</f>
        <v>9641.8000000000011</v>
      </c>
      <c r="Q37" s="120">
        <f t="shared" si="2"/>
        <v>380631.98000000004</v>
      </c>
      <c r="R37" s="100">
        <f>'Разд 1.1 МЗ '!F78</f>
        <v>0</v>
      </c>
      <c r="S37" s="120">
        <f t="shared" si="3"/>
        <v>0</v>
      </c>
      <c r="T37" s="100" t="e">
        <f>'Разд 1.2 ИЦ'!#REF!</f>
        <v>#REF!</v>
      </c>
      <c r="U37" s="100" t="e">
        <f>'Разд 1.2 ИЦ'!#REF!</f>
        <v>#REF!</v>
      </c>
      <c r="V37" s="100" t="e">
        <f>'Разд 1.2 ИЦ'!#REF!</f>
        <v>#REF!</v>
      </c>
      <c r="W37" s="100" t="e">
        <f>'Разд 1.2 ИЦ'!#REF!</f>
        <v>#REF!</v>
      </c>
      <c r="X37" s="127" t="e">
        <f t="shared" si="4"/>
        <v>#REF!</v>
      </c>
      <c r="Y37" s="100">
        <f>'Разд 1.3 ПДД'!M86</f>
        <v>0</v>
      </c>
      <c r="Z37" s="100">
        <f>'Разд 1.3 ПДД'!N86</f>
        <v>0</v>
      </c>
      <c r="AA37" s="120">
        <f t="shared" si="5"/>
        <v>0</v>
      </c>
      <c r="AB37" s="100">
        <f>'Разд 1.1 МЗ '!G81</f>
        <v>0</v>
      </c>
      <c r="AC37" s="120">
        <f t="shared" si="6"/>
        <v>0</v>
      </c>
      <c r="AD37" s="100"/>
      <c r="AE37" s="100"/>
      <c r="AF37" s="100" t="e">
        <f>'Разд 1.2 ИЦ'!#REF!</f>
        <v>#REF!</v>
      </c>
      <c r="AG37" s="100" t="e">
        <f>'Разд 1.2 ИЦ'!#REF!</f>
        <v>#REF!</v>
      </c>
      <c r="AH37" s="131" t="e">
        <f t="shared" si="7"/>
        <v>#REF!</v>
      </c>
      <c r="AI37" s="100">
        <f>Лист2!Y37</f>
        <v>0</v>
      </c>
      <c r="AJ37" s="100">
        <f>Лист2!Z37</f>
        <v>0</v>
      </c>
      <c r="AK37" s="120">
        <f t="shared" si="8"/>
        <v>0</v>
      </c>
    </row>
    <row r="38" spans="1:37" s="119" customFormat="1" x14ac:dyDescent="0.25">
      <c r="A38" s="118" t="s">
        <v>168</v>
      </c>
      <c r="B38" s="118"/>
      <c r="C38" s="101">
        <f>SUBTOTAL(9,C7:C37)</f>
        <v>0</v>
      </c>
      <c r="D38" s="101">
        <f t="shared" ref="D38:R38" si="9">SUBTOTAL(9,D7:D37)</f>
        <v>0</v>
      </c>
      <c r="E38" s="101">
        <f t="shared" si="9"/>
        <v>0</v>
      </c>
      <c r="F38" s="101">
        <f t="shared" si="9"/>
        <v>165291185.72999999</v>
      </c>
      <c r="G38" s="101">
        <f t="shared" si="9"/>
        <v>165291185.72999999</v>
      </c>
      <c r="H38" s="101">
        <f t="shared" si="9"/>
        <v>14900</v>
      </c>
      <c r="I38" s="101" t="e">
        <f t="shared" si="9"/>
        <v>#REF!</v>
      </c>
      <c r="J38" s="101">
        <f t="shared" si="9"/>
        <v>16063979</v>
      </c>
      <c r="K38" s="101">
        <f t="shared" si="9"/>
        <v>0</v>
      </c>
      <c r="L38" s="101" t="e">
        <f t="shared" si="9"/>
        <v>#REF!</v>
      </c>
      <c r="M38" s="101">
        <f t="shared" si="9"/>
        <v>2645419.16</v>
      </c>
      <c r="N38" s="101">
        <f t="shared" si="9"/>
        <v>12473.16</v>
      </c>
      <c r="O38" s="101">
        <f t="shared" si="9"/>
        <v>3796815.3800000004</v>
      </c>
      <c r="P38" s="101">
        <f t="shared" si="9"/>
        <v>212619.62</v>
      </c>
      <c r="Q38" s="122">
        <f t="shared" si="9"/>
        <v>6667327.3200000003</v>
      </c>
      <c r="R38" s="101">
        <f t="shared" si="9"/>
        <v>164415455.36000001</v>
      </c>
      <c r="S38" s="122">
        <f t="shared" ref="S38" si="10">SUBTOTAL(9,S7:S37)</f>
        <v>164415455.36000001</v>
      </c>
      <c r="T38" s="101" t="e">
        <f t="shared" ref="T38" si="11">SUBTOTAL(9,T7:T37)</f>
        <v>#REF!</v>
      </c>
      <c r="U38" s="101" t="e">
        <f t="shared" ref="U38" si="12">SUBTOTAL(9,U7:U37)</f>
        <v>#REF!</v>
      </c>
      <c r="V38" s="101" t="e">
        <f t="shared" ref="V38" si="13">SUBTOTAL(9,V7:V37)</f>
        <v>#REF!</v>
      </c>
      <c r="W38" s="101" t="e">
        <f t="shared" ref="W38" si="14">SUBTOTAL(9,W7:W37)</f>
        <v>#REF!</v>
      </c>
      <c r="X38" s="128" t="e">
        <f t="shared" ref="X38" si="15">SUBTOTAL(9,X7:X37)</f>
        <v>#REF!</v>
      </c>
      <c r="Y38" s="101">
        <f t="shared" ref="Y38" si="16">SUBTOTAL(9,Y7:Y37)</f>
        <v>0</v>
      </c>
      <c r="Z38" s="101">
        <f t="shared" ref="Z38" si="17">SUBTOTAL(9,Z7:Z37)</f>
        <v>0</v>
      </c>
      <c r="AA38" s="122">
        <f t="shared" ref="AA38:AK38" si="18">SUBTOTAL(9,AA7:AA37)</f>
        <v>0</v>
      </c>
      <c r="AB38" s="122">
        <f t="shared" si="18"/>
        <v>164415455.36000001</v>
      </c>
      <c r="AC38" s="122">
        <f t="shared" si="18"/>
        <v>164415455.36000001</v>
      </c>
      <c r="AD38" s="122" t="e">
        <f t="shared" si="18"/>
        <v>#REF!</v>
      </c>
      <c r="AE38" s="122" t="e">
        <f t="shared" si="18"/>
        <v>#REF!</v>
      </c>
      <c r="AF38" s="122" t="e">
        <f t="shared" si="18"/>
        <v>#REF!</v>
      </c>
      <c r="AG38" s="122" t="e">
        <f t="shared" si="18"/>
        <v>#REF!</v>
      </c>
      <c r="AH38" s="122" t="e">
        <f t="shared" si="18"/>
        <v>#REF!</v>
      </c>
      <c r="AI38" s="122">
        <f t="shared" si="18"/>
        <v>0</v>
      </c>
      <c r="AJ38" s="122">
        <f t="shared" si="18"/>
        <v>0</v>
      </c>
      <c r="AK38" s="122">
        <f t="shared" si="18"/>
        <v>0</v>
      </c>
    </row>
    <row r="39" spans="1:37" x14ac:dyDescent="0.25">
      <c r="L39" s="124"/>
      <c r="AA39" s="123"/>
    </row>
  </sheetData>
  <autoFilter ref="A5:AA37">
    <filterColumn colId="3" showButton="0"/>
    <filterColumn colId="9" showButton="0"/>
    <filterColumn colId="12" showButton="0"/>
    <filterColumn colId="14" showButton="0"/>
    <filterColumn colId="21" showButton="0"/>
  </autoFilter>
  <mergeCells count="27">
    <mergeCell ref="AB3:AK3"/>
    <mergeCell ref="AC4:AC6"/>
    <mergeCell ref="AD4:AG4"/>
    <mergeCell ref="AH4:AH6"/>
    <mergeCell ref="AI4:AJ4"/>
    <mergeCell ref="AK4:AK6"/>
    <mergeCell ref="AF5:AG5"/>
    <mergeCell ref="B3:B6"/>
    <mergeCell ref="A3:A6"/>
    <mergeCell ref="H4:K4"/>
    <mergeCell ref="G4:G6"/>
    <mergeCell ref="C4:F4"/>
    <mergeCell ref="C3:Q3"/>
    <mergeCell ref="Q4:Q6"/>
    <mergeCell ref="M5:N5"/>
    <mergeCell ref="O5:P5"/>
    <mergeCell ref="M4:P4"/>
    <mergeCell ref="R3:AA3"/>
    <mergeCell ref="Y4:Z4"/>
    <mergeCell ref="L4:L6"/>
    <mergeCell ref="D5:E5"/>
    <mergeCell ref="J5:K5"/>
    <mergeCell ref="X4:X6"/>
    <mergeCell ref="AA4:AA6"/>
    <mergeCell ref="T4:W4"/>
    <mergeCell ref="S4:S6"/>
    <mergeCell ref="V5:W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D12" sqref="D12"/>
    </sheetView>
  </sheetViews>
  <sheetFormatPr defaultRowHeight="15" x14ac:dyDescent="0.25"/>
  <cols>
    <col min="3" max="3" width="13.5703125" bestFit="1" customWidth="1"/>
    <col min="4" max="4" width="15.140625" customWidth="1"/>
    <col min="5" max="5" width="14.5703125" customWidth="1"/>
  </cols>
  <sheetData>
    <row r="3" spans="2:5" x14ac:dyDescent="0.25">
      <c r="B3" s="99"/>
      <c r="C3" s="99">
        <v>2020</v>
      </c>
      <c r="D3" s="99">
        <v>2021</v>
      </c>
      <c r="E3" s="99">
        <v>2022</v>
      </c>
    </row>
    <row r="4" spans="2:5" x14ac:dyDescent="0.25">
      <c r="B4" s="99" t="s">
        <v>165</v>
      </c>
      <c r="C4" s="100">
        <v>148768700</v>
      </c>
      <c r="D4" s="100">
        <v>148465200</v>
      </c>
      <c r="E4" s="100">
        <v>148465200</v>
      </c>
    </row>
    <row r="5" spans="2:5" x14ac:dyDescent="0.25">
      <c r="B5" s="99" t="s">
        <v>166</v>
      </c>
      <c r="C5" s="100">
        <v>10993220</v>
      </c>
      <c r="D5" s="100">
        <v>9998720</v>
      </c>
      <c r="E5" s="100">
        <v>6917886</v>
      </c>
    </row>
    <row r="6" spans="2:5" x14ac:dyDescent="0.25">
      <c r="B6" s="99" t="s">
        <v>167</v>
      </c>
      <c r="C6" s="100">
        <v>12491376.99</v>
      </c>
      <c r="D6" s="100">
        <v>12491376.99</v>
      </c>
      <c r="E6" s="100">
        <v>12491376.99</v>
      </c>
    </row>
    <row r="7" spans="2:5" x14ac:dyDescent="0.25">
      <c r="B7" s="99" t="s">
        <v>168</v>
      </c>
      <c r="C7" s="101">
        <f>C4+C5+C6</f>
        <v>172253296.99000001</v>
      </c>
      <c r="D7" s="101">
        <f t="shared" ref="D7:E7" si="0">D4+D5+D6</f>
        <v>170955296.99000001</v>
      </c>
      <c r="E7" s="101">
        <f t="shared" si="0"/>
        <v>167874462.99000001</v>
      </c>
    </row>
    <row r="10" spans="2:5" x14ac:dyDescent="0.25">
      <c r="C10">
        <v>703</v>
      </c>
      <c r="D10" s="114">
        <f>2797200+5390400+1627900</f>
        <v>9815500</v>
      </c>
    </row>
    <row r="11" spans="2:5" x14ac:dyDescent="0.25">
      <c r="C11">
        <v>1101</v>
      </c>
      <c r="D11" s="114">
        <f>39452768.13+76350619.37+22166312.5</f>
        <v>137969700</v>
      </c>
    </row>
    <row r="12" spans="2:5" x14ac:dyDescent="0.25">
      <c r="D12" s="114">
        <f>D10+D11</f>
        <v>147785200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титульник</vt:lpstr>
      <vt:lpstr>разд 1 все вместе</vt:lpstr>
      <vt:lpstr>Свод Разд 1</vt:lpstr>
      <vt:lpstr>Разд 1.1 МЗ </vt:lpstr>
      <vt:lpstr>Разд 1.2 ИЦ</vt:lpstr>
      <vt:lpstr>Разд 1.3 ПДД</vt:lpstr>
      <vt:lpstr>Раздел 2</vt:lpstr>
      <vt:lpstr>Лист2</vt:lpstr>
      <vt:lpstr>Лист1</vt:lpstr>
      <vt:lpstr>'Разд 1.1 МЗ '!Область_печати</vt:lpstr>
      <vt:lpstr>'Разд 1.2 ИЦ'!Область_печати</vt:lpstr>
      <vt:lpstr>'Разд 1.3 ПДД'!Область_печати</vt:lpstr>
      <vt:lpstr>'Раздел 2'!Область_печати</vt:lpstr>
      <vt:lpstr>титульник!Область_печати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2023-07-26T10:15:13Z</dcterms:modified>
</cp:coreProperties>
</file>